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435" windowWidth="6165" windowHeight="66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Лист1" sheetId="8" r:id="rId8"/>
  </sheets>
  <definedNames>
    <definedName name="_xlnm.Print_Area" localSheetId="2">'Приложение 3'!$A$1:$H$1352</definedName>
    <definedName name="_xlnm.Print_Area" localSheetId="4">'Приложение 5'!$A$1:$I$1469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59" authorId="0">
      <text>
        <r>
          <rPr>
            <b/>
            <sz val="10"/>
            <rFont val="Tahoma"/>
            <family val="2"/>
          </rPr>
          <t>ФЗ "О присяжных заседателях…"</t>
        </r>
      </text>
    </comment>
    <comment ref="F174" authorId="1">
      <text>
        <r>
          <rPr>
            <b/>
            <sz val="8"/>
            <rFont val="Tahoma"/>
            <family val="2"/>
          </rPr>
          <t>Nikolaeva: при корректировке текста</t>
        </r>
        <r>
          <rPr>
            <sz val="8"/>
            <rFont val="Tahoma"/>
            <family val="2"/>
          </rPr>
          <t xml:space="preserve">
Ст. 61.1</t>
        </r>
      </text>
    </comment>
    <comment ref="F185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ПАТП 55386, Субсидия 229+ софин 229</t>
        </r>
      </text>
    </comment>
    <comment ref="F361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F372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бл. И озеленение 30 000,иммобил. 1000, колодцы 864, прочее бл. 3000</t>
        </r>
      </text>
    </comment>
    <comment ref="F373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дворовых территорий</t>
        </r>
      </text>
    </comment>
    <comment ref="H758" authorId="0">
      <text>
        <r>
          <rPr>
            <sz val="10"/>
            <rFont val="Tahoma"/>
            <family val="2"/>
          </rPr>
          <t>Госстандарт МУК</t>
        </r>
      </text>
    </comment>
    <comment ref="H765" authorId="0">
      <text>
        <r>
          <rPr>
            <sz val="10"/>
            <rFont val="Tahoma"/>
            <family val="2"/>
          </rPr>
          <t>Госстандарт МУК</t>
        </r>
      </text>
    </comment>
    <comment ref="F884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H915" authorId="0">
      <text>
        <r>
          <rPr>
            <b/>
            <sz val="10"/>
            <rFont val="Tahoma"/>
            <family val="2"/>
          </rPr>
          <t>питание беременных женщин, кормящих матерей, детей до 3 лет</t>
        </r>
      </text>
    </comment>
    <comment ref="F1262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средства ФБ на содержание детей в семьях опекунов (попечителей) и приемных семьях</t>
        </r>
      </text>
    </comment>
    <comment ref="A1345" authorId="0">
      <text>
        <r>
          <rPr>
            <b/>
            <sz val="10"/>
            <rFont val="Tahoma"/>
            <family val="2"/>
          </rPr>
          <t>Не должны превышать 15% объема расходов бюджета (ст.111 БК РФ)</t>
        </r>
      </text>
    </comment>
    <comment ref="H553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26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</authors>
  <commentList>
    <comment ref="G1114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<sst xmlns="http://schemas.openxmlformats.org/spreadsheetml/2006/main" count="15911" uniqueCount="2050">
  <si>
    <t>Обеспечение полноценным питанием беременных женщин, кормящих матерей, а также детей в возрасте до трех лет</t>
  </si>
  <si>
    <t>522 04 61</t>
  </si>
  <si>
    <t>522 04 62</t>
  </si>
  <si>
    <t>020</t>
  </si>
  <si>
    <t>024</t>
  </si>
  <si>
    <t>Субсидия на организацию и осуществление мероприятий по работе с детьми и молодежью</t>
  </si>
  <si>
    <t>431 01 01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</si>
  <si>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</si>
  <si>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</si>
  <si>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на приобретение объектов недвижимого имущества казенным учреждениям</t>
  </si>
  <si>
    <t>Целевые субсидии  бюджетным учреждениям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</si>
  <si>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</si>
  <si>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Выполнение функций органами местного самоуправления(Ремонт внутридворовых территорий)</t>
  </si>
  <si>
    <t>0701 - 795 02 20 - 611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</si>
  <si>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</si>
  <si>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</si>
  <si>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</si>
  <si>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</si>
  <si>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</si>
  <si>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</si>
  <si>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Приобретение компьютерной и оргтехники для МБУ "ЦКД "Импульс"</t>
  </si>
  <si>
    <t>Код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</si>
  <si>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</si>
  <si>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</si>
  <si>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</si>
  <si>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</si>
  <si>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</si>
  <si>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</si>
  <si>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522 26 01</t>
  </si>
  <si>
    <t>Капитальные вложения в объекты дошкольного образования</t>
  </si>
  <si>
    <t>320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</si>
  <si>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</si>
  <si>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Региональные целевые программы</t>
  </si>
  <si>
    <t>522 00 00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</si>
  <si>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</si>
  <si>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</si>
  <si>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Международное сотрудничество</t>
  </si>
  <si>
    <t>0702 - 795 02 21 - 612</t>
  </si>
  <si>
    <t>0702 - 795 02 21 - 622</t>
  </si>
  <si>
    <t>0702 - 795 02 23 - 612</t>
  </si>
  <si>
    <t>0501 - 795 17 00 - 243</t>
  </si>
  <si>
    <t>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годы.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</si>
  <si>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</si>
  <si>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</si>
  <si>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</si>
  <si>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</si>
  <si>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</si>
  <si>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</si>
  <si>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</si>
  <si>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</si>
  <si>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</si>
  <si>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</si>
  <si>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</si>
  <si>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</si>
  <si>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</si>
  <si>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 xml:space="preserve">                                                                            Приложение №  11 </t>
  </si>
  <si>
    <t xml:space="preserve"> к Решению Совета депутатов</t>
  </si>
  <si>
    <t xml:space="preserve">                                                                                             от  14.12.2012   № 1-4/495</t>
  </si>
  <si>
    <t>ПЕРЕЧЕНЬ
дополнительных мероприятий по развитию жилищно-коммунального хозяйства
и социально-культурной сферы на 2013 год</t>
  </si>
  <si>
    <t>№№ п/п</t>
  </si>
  <si>
    <t>ГРБС    по ведомственной структуре</t>
  </si>
  <si>
    <t>Наименование мероприятий</t>
  </si>
  <si>
    <t>Сумма выделяемых средств, тыс. руб.</t>
  </si>
  <si>
    <t>2</t>
  </si>
  <si>
    <t>3</t>
  </si>
  <si>
    <t>4</t>
  </si>
  <si>
    <t xml:space="preserve">Обустройство детской игровой площадки в микрорайоне    
Белые столбы, в районе улиц Лесная, Пушкина,           
Изумрудная, городской округ Домодедово              
</t>
  </si>
  <si>
    <t xml:space="preserve">Обустройство хоккейной площадки, микрорайон Востряково,
ул. Звездная, городской округ Домодедово               
</t>
  </si>
  <si>
    <t xml:space="preserve">Приобретение малых игровых форм в микрорайон Западный, 
ул. Драгунская, д. 7, городской округ Домодедово      
</t>
  </si>
  <si>
    <t xml:space="preserve">Приобретение инвентаря и мебели для муниципального     
бюджетного учреждения городского округа Домодедово     
"Физкультурно-оздоровительный клуб "Старт", городской  
округ Домодедово                                 
</t>
  </si>
  <si>
    <t xml:space="preserve">Ремонт помещений с перепланировкой и обустройством     
пандусов для колясочников в муниципальном бюджетном    
учреждении городского округа Домодедово                
"Физкультурно-оздоровительный клуб "Старт", городской  
округ Домодедово                                     
</t>
  </si>
  <si>
    <t xml:space="preserve">Устройство спецпокрытия комплексной спортивной площадки
(г. Домодедово, микрорайон Барыбино ул. Макаренко) МБУ 
ЦФКС "Горизонт", городской округ Домодедово           
</t>
  </si>
  <si>
    <t>ИТОГО:</t>
  </si>
  <si>
    <t xml:space="preserve">Ремонт крыльца в муниципальном бюджетном учреждении   городского округа Домодедово "Молодежный комплексный центр "Победа", городской округ Домодедово   
</t>
  </si>
  <si>
    <t xml:space="preserve">Проведение капитального ремонта большого зала с заменой
кресел в Константиновском сельском доме культуры - филиале муниципального бюджетного учреждения городского округа Домодедово "Центр культуры и досуга "Импульс", городской округ Домодедово   
</t>
  </si>
  <si>
    <t xml:space="preserve">Проведение капитального ремонта большого зала с заменой
кресел в сельском доме культуры "Пахра" - филиале муниципального бюджетного учреждения городского округа Домодедово "Центр культуры и досуга  "Импульс", городской округ Домодедово                 
 </t>
  </si>
  <si>
    <t xml:space="preserve">Ремонт кровли в Повадинском сельском доме культуры -   
филиале муниципального бюджетного учреждения городского округа Домодедово "Центр культуры и досуга  "Импульс", городской округ Домодедово                 
</t>
  </si>
  <si>
    <t xml:space="preserve">Ремонт кровли в городском дворце культуры и спорта     
"Мир" - филиале муниципального бюджетного учреждения  городского округа Домодедово "Центр культуры и досуга "Импульс", городской округ Домодедово        
</t>
  </si>
  <si>
    <t xml:space="preserve">Приобретение компьютерной и оргтехники для муниципального бюджетного учреждения культуры городского округа Домодедово "Центр культуры и досуга  "Импульс", городской округ Домодедово    
</t>
  </si>
  <si>
    <t xml:space="preserve">Устройство футбольного поля с натуральным газоном,     
приобретение и установка ворот в Муниципальном         
бюджетном учреждении городского округа Домодедово   "Центр физической культуры и спорта "Горизонт" городского округа Домодедово         
</t>
  </si>
  <si>
    <t>Демонтаж старого хоккейного корта, поставка и установка нового хоккейного корта в д. Житнево г. Домодедово для МБУ "ЦФКС "Горизонт", городской округ Домодедово</t>
  </si>
  <si>
    <t>Ремонтные работы на территории Муниципального автономного учреждения городского округа Домодедово "Городской стадион "Авангард", городской округ Домодедово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</si>
  <si>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</si>
  <si>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</si>
  <si>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</si>
  <si>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</si>
  <si>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</si>
  <si>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</si>
  <si>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</si>
  <si>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Регистрационный номер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</si>
  <si>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</si>
  <si>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</si>
  <si>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</si>
  <si>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</si>
  <si>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</si>
  <si>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</si>
  <si>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</si>
  <si>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</si>
  <si>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</si>
  <si>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</si>
  <si>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</si>
  <si>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</si>
  <si>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</si>
  <si>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</si>
  <si>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</si>
  <si>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</si>
  <si>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</si>
  <si>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</si>
  <si>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</si>
  <si>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</si>
  <si>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</si>
  <si>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</si>
  <si>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</si>
  <si>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</si>
  <si>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</si>
  <si>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</si>
  <si>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</si>
  <si>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</si>
  <si>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</si>
  <si>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</si>
  <si>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</si>
  <si>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</si>
  <si>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</si>
  <si>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</si>
  <si>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</si>
  <si>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Целевая  субсидия на софинансирование программы "Развитие здравоохранения Московской области на 2013-2015 годы"</t>
  </si>
  <si>
    <t>Рз-ПРз-ЦСР-ВР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</si>
  <si>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</si>
  <si>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</si>
  <si>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</si>
  <si>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</si>
  <si>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</si>
  <si>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795 01 24</t>
  </si>
  <si>
    <t>795 03 00</t>
  </si>
  <si>
    <t>795 03 21</t>
  </si>
  <si>
    <t>795 03 22</t>
  </si>
  <si>
    <t>795 15 00</t>
  </si>
  <si>
    <t>Бюджетные инвестиции на инженерно-экологические и инженерно-геологические изыскания по МАДОУ ЦРР д/с № 35 "Дельфин"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</si>
  <si>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</si>
  <si>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</si>
  <si>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</si>
  <si>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Целевая субсидия на проектирование охранно-защитной зоны МАУ "ГС "Авангард"</t>
  </si>
  <si>
    <t>522 17 03</t>
  </si>
  <si>
    <t>520 15 00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</si>
  <si>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</si>
  <si>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</si>
  <si>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</si>
  <si>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</si>
  <si>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</si>
  <si>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</si>
  <si>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</si>
  <si>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</si>
  <si>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</si>
  <si>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</si>
  <si>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1003 -795 05 00 - 322</t>
  </si>
  <si>
    <t>Ежемесячное денежное вознаграждение за классное руководство</t>
  </si>
  <si>
    <t>520 09 00</t>
  </si>
  <si>
    <t>Целевая субсидия на приобретение оборудования, инвентаря, мебели</t>
  </si>
  <si>
    <t>Приобретение антирабической вакцины</t>
  </si>
  <si>
    <t>Целевая субсидия на составление ПСД и ремонт кровли в СДК "Повадинский"</t>
  </si>
  <si>
    <t>Целевая субсидия на составление ПСД, ремонт кровли и системы отопления в СДК "Шаховский"</t>
  </si>
  <si>
    <t>Целевая субсидия на оформление земельных участков под размещение плоствкостных спортивных сооружений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</si>
  <si>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</si>
  <si>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</si>
  <si>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</si>
  <si>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</si>
  <si>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</si>
  <si>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</si>
  <si>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</si>
  <si>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</si>
  <si>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</si>
  <si>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</si>
  <si>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</si>
  <si>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</si>
  <si>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Долгосрочная целевая программа Московской области  "Развитие сельского хозяйства и регулирование рынков сельскохозяйственной продукции, сырья и продовольствия в Московской области на  2013-2020 годы"</t>
  </si>
  <si>
    <t>Субсидии на осуществление мероприятий по обеспечению жильем молодых семей и молодых специалистов проживающих ит работающих в сельской местности</t>
  </si>
  <si>
    <t xml:space="preserve">Программа "Развитие образования в городском округе Домодедово на 2011-2013 годы" </t>
  </si>
  <si>
    <t xml:space="preserve">Бюджетные инвестиции на приобретение основных средств 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</si>
  <si>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</si>
  <si>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</si>
  <si>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</si>
  <si>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</si>
  <si>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 xml:space="preserve">Оздоровление детей 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</si>
  <si>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</si>
  <si>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</si>
  <si>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</si>
  <si>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Бюджетные инвестиции в объекты государственной собственности бюджетным учреждениям вне рамок государственного оборонного заказа в том числе:</t>
  </si>
  <si>
    <t>Разработка ПСД и реконструкция Обелиска Славы воинам- домодедовцам погибшим в годы Великой Отечественной Войны и Аллеи Славы</t>
  </si>
  <si>
    <t>Целевая субсидия на приобретение запасных частей к атракционам</t>
  </si>
  <si>
    <t>Целевая субсидия на проведение ремонта, приобретение электросилового оборудования и расходных материалов ГДК "Дружба"</t>
  </si>
  <si>
    <t>Бюджетные инвестиции (Разработка ПСД, ПИР детского сада на 190 мест в микрорайоне Авиационный, ул. Жуковского)</t>
  </si>
  <si>
    <t>Обеспечение дополнительными местами в муниципальных дошкольных образовательных учреждениях в том числе:</t>
  </si>
  <si>
    <t>Бюджетные инвестиции на приобретение оборудования для перепрофилирования групп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</si>
  <si>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</si>
  <si>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</si>
  <si>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</si>
  <si>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2 02 03119 04 000 151</t>
  </si>
  <si>
    <t xml:space="preserve">                           Приложение №  6   </t>
  </si>
  <si>
    <t xml:space="preserve">                                                                         Приложение №7  </t>
  </si>
  <si>
    <t>2 02 01000 00 0000 151</t>
  </si>
  <si>
    <t>Прочие дотации бюджетам городских округов</t>
  </si>
  <si>
    <t>2 02 01999 04 0000 151</t>
  </si>
  <si>
    <t>Субсидии бюджетам бюджетной системы Российской Федерации (межбюджетные субсидии)</t>
  </si>
  <si>
    <t>2 02 02000 00 0000 151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</si>
  <si>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</si>
  <si>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</si>
  <si>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</si>
  <si>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</si>
  <si>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</si>
  <si>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</si>
  <si>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</si>
  <si>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</si>
  <si>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</si>
  <si>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2 02 02068 04 0000 151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</si>
  <si>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 собственности муниципальных образований)</t>
  </si>
  <si>
    <t>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</si>
  <si>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</si>
  <si>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</si>
  <si>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</si>
  <si>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</si>
  <si>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</si>
  <si>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</si>
  <si>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</si>
  <si>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</si>
  <si>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Бюджетные инвестиции на технологическое присоединение МАДОУ д/с № 1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</si>
  <si>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</si>
  <si>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</si>
  <si>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</si>
  <si>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</si>
  <si>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002 04 00</t>
  </si>
  <si>
    <t>Прочие расходы</t>
  </si>
  <si>
    <t>470 10 05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</si>
  <si>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</si>
  <si>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</si>
  <si>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</si>
  <si>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</si>
  <si>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</si>
  <si>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</si>
  <si>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</si>
  <si>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</si>
  <si>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</si>
  <si>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</si>
  <si>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</si>
  <si>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</si>
  <si>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2 02 02085 04 0000 151</t>
  </si>
  <si>
    <t>2 02 02088 04 0001 151</t>
  </si>
  <si>
    <t>2 02 02089 04 0001 151</t>
  </si>
  <si>
    <t>2 02 02999 04 0000 151</t>
  </si>
  <si>
    <t>Прочие субсидии бюджетам городских округов</t>
  </si>
  <si>
    <t>2 02 03007 04 0000 151</t>
  </si>
  <si>
    <t>2 02 03022 04 0000 151</t>
  </si>
  <si>
    <t>2 02 03024 04 0000 151</t>
  </si>
  <si>
    <t>2 02 03026 04 0000 151</t>
  </si>
  <si>
    <t xml:space="preserve"> на 2013 год</t>
  </si>
  <si>
    <t>расходов бюджета городского округа Домодедово на 2013 год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</si>
  <si>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</si>
  <si>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</si>
  <si>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</si>
  <si>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</si>
  <si>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</si>
  <si>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</si>
  <si>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</si>
  <si>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</si>
  <si>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</si>
  <si>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</si>
  <si>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</si>
  <si>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</si>
  <si>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</si>
  <si>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</si>
  <si>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</si>
  <si>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</si>
  <si>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</si>
  <si>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</si>
  <si>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</si>
  <si>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</si>
  <si>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524 37 00</t>
  </si>
  <si>
    <t>Закупка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</si>
  <si>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Целевая субсидия на закупку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</si>
  <si>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436 21 00</t>
  </si>
  <si>
    <t>Модернизация региональных систем общего образования</t>
  </si>
  <si>
    <t xml:space="preserve">Субсидия автономным учреждениям </t>
  </si>
  <si>
    <t>Субсидии автономным учреждениям на иные цели</t>
  </si>
  <si>
    <t>Подпрограмма "Улучшение жилищных условий семей, имеющих семь и более детей" Долгосрочной целевой программы Московской области "Жилище" на 2013-2015 годы</t>
  </si>
  <si>
    <t>522 15 03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</si>
  <si>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</si>
  <si>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</si>
  <si>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</si>
  <si>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</si>
  <si>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</si>
  <si>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Программа "Развитие культуры в городском округе Домодедово в 2012-2014 годы"</t>
  </si>
  <si>
    <t>526 00 00</t>
  </si>
  <si>
    <t>526 04 01</t>
  </si>
  <si>
    <t>526 04 02</t>
  </si>
  <si>
    <t>Долгосрочная целевая программа Московской области "Развитие здравоохранения Московской области на 2013-2015 годы" - Проведение капитального ремонта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</si>
  <si>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</si>
  <si>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</si>
  <si>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</si>
  <si>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</si>
  <si>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</si>
  <si>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</si>
  <si>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</si>
  <si>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</si>
  <si>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2 02 03000 00 0000 151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</si>
  <si>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</si>
  <si>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</si>
  <si>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Субсидии юридическим лицам (кроме государственных учреждений) и физическим лицам - производителям товаров, работ, услуг, в том числе:</t>
  </si>
  <si>
    <t>Бюджетные инвестиции в объекты капитального строительства собственности муниципальных образований, в том числе:</t>
  </si>
  <si>
    <t>Субсидия 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обслуживаниии</t>
  </si>
  <si>
    <t xml:space="preserve"> Программа "Устройство детских игровых и спортивных площадок на территории городского округа Домодедово на 2012-2015 годы"</t>
  </si>
  <si>
    <t xml:space="preserve">Целевая субсидия на технологическое присоединение к электрическим сетям МБДОУ д/с № 23 "Золотой ключик" на 250 мест в г. Домодедово, мкр. Западный </t>
  </si>
  <si>
    <t>Долгосрочная целевая программа Московской области "Содействие занятости населения Московской области на 2013-2015 годы"</t>
  </si>
  <si>
    <t>Обеспечение дополнительными местами в муниципальных дошкольных образовательных учреждениях, в том числе:</t>
  </si>
  <si>
    <t>Областная целевая программа "Развитие образования в Московской области на 2013 - 2015 годы."  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питания обучающихся</t>
  </si>
  <si>
    <t xml:space="preserve">Целевая субсидия на проведение капитального ремонта помещений, предназначенных для филиала Константиновской детской музыкальной школы </t>
  </si>
  <si>
    <t>Программа "Профилактика преступлений и иных правонарушений на территории городского округа Домодедово на 2012-2014 годы" (Учреждения по внешкольной работе с детьми)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</si>
  <si>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</si>
  <si>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Аттестация рабочих мест</t>
  </si>
  <si>
    <t>Не публичные нормативные социальные выплаты гражданам (Организация горячего питания одиноким, малообеспеченным инвалидам,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</si>
  <si>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управления, гос. внебюджетными фондами компенсации части родительской платы за содержание ребенка в гос. мун. образовательных учреждениях </t>
  </si>
  <si>
    <t>Капитальный ремонт, ремонт кровли, обследование, разработка ПСД, установка узлов учета, приобретение оборудования,противопожарные мероприятия, замена окон, приобретение медицинской и бытовой мебели, установка металлических ограждений, установка физиотерапевтических кабин, ремонт системы кондиционирования, благоустройство территорий, электроснабжение в  помещениях учреждений здравоохранения</t>
  </si>
  <si>
    <t>Целевая субсидия на установку пластиковых окон, демонтаж, приобретение и установку дверей в МБУ " МКЦ "Победа"</t>
  </si>
  <si>
    <t>Целевая субсидия на замену входной двери, замену (демонтаж старых и монтаж новых) оконных блоков в МБУК "ЦБС"</t>
  </si>
  <si>
    <t>Целевая субсидия на  ремонт главного распределительного щитка, демонтаж оборудования, установку клапанов дымоудаления, ремонт кровли в СДК "Русь"</t>
  </si>
  <si>
    <t>Целевая субсидия на приобретение запасных частей к аттракционам</t>
  </si>
  <si>
    <t>Бюджетные инвестиции в объекты государственной собственности бюджетным учреждениям вне рамок государственного оборонного заказа, в том числе:</t>
  </si>
  <si>
    <t>Разработка ПСД и реконструкция Обелиска Славы воинам- домодедовцам, погибшим в годы Великой Отечественной Войны и Аллеи Славы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</si>
  <si>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(Взносы  в уставные фонды муниципальных унитарных предприятий)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</si>
  <si>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(Взносы  в уставные фонды муниципальных унитарных предприятий)</t>
  </si>
  <si>
    <t>Целевая субсидия на ремонт подвесного пешеходного моста с. Битягово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</si>
  <si>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года", за счет средств перечисляемых из федерального бюджета</t>
  </si>
  <si>
    <t>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</t>
  </si>
  <si>
    <t>Социальная поддержка инвалидов городского округа Домодедово на 2011-2013 годы</t>
  </si>
  <si>
    <t xml:space="preserve">Обеспечение жильем молодых семей в городском округе Домодедово на 2010 - 2013 годы </t>
  </si>
  <si>
    <t>Развитие системы водоотведения городского округа Домодедово на 2011-2016 годы</t>
  </si>
  <si>
    <t>Развитие малого и среднего предпринимательства в городском округе Домодедово на 2010-2013 годы</t>
  </si>
  <si>
    <t>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</t>
  </si>
  <si>
    <t>Организация  отдыха, оздоровления и занятости детей и подростков в городском округе Домодедово на 2012-2014 годы</t>
  </si>
  <si>
    <t>Развитие здравоохранения  городского округа Домодедово на 2012-2014 годы</t>
  </si>
  <si>
    <t>Развитие физической культуры и спорта в городском округе Домодедово на 2012-2014 годы</t>
  </si>
  <si>
    <t>Развитие культуры в городском округе Домодедово в 2012-2014 годы</t>
  </si>
  <si>
    <t>Капитальный ремонт многоквартирных домов городского округа Домодедово на 2012-2014 годы</t>
  </si>
  <si>
    <t>Молодежь городского округа Домодедово на 2012-2014 годы</t>
  </si>
  <si>
    <t>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</si>
  <si>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</si>
  <si>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</si>
  <si>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</si>
  <si>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</si>
  <si>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</si>
  <si>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795 13 03</t>
  </si>
  <si>
    <t>Капитальный ремонт отделений круглосуточного стационара медико - санитарной части МБУЗ "ДЦГБ"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</si>
  <si>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</si>
  <si>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</si>
  <si>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</si>
  <si>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</si>
  <si>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Бюджетные инвестиции в объекты муниципальной собственности автономным учреждениям, в том числе:</t>
  </si>
  <si>
    <t>Бюджетные инвестиции в объекты муниципальной собственности бюджетным учреждениям, в том числе:</t>
  </si>
  <si>
    <t>413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</si>
  <si>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</si>
  <si>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</si>
  <si>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</si>
  <si>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</si>
  <si>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</si>
  <si>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</si>
  <si>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</si>
  <si>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</si>
  <si>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</si>
  <si>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</si>
  <si>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</si>
  <si>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</si>
  <si>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</si>
  <si>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</si>
  <si>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</si>
  <si>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</si>
  <si>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Программа "Развитие образования в городском округе Домодедово на 2011-2013 годы" (в  школе-интернате)</t>
  </si>
  <si>
    <t>Капитальный ремонт в учреждениях культуры филиалах МБУ "ЦКД "Импульс"</t>
  </si>
  <si>
    <t>Программа "Обеспечение безопасности дорожного движения на территории городского округа Домодедово на 2012-2015 годы"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</si>
  <si>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</si>
  <si>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</si>
  <si>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</si>
  <si>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</si>
  <si>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</si>
  <si>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</si>
  <si>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</si>
  <si>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</si>
  <si>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</si>
  <si>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</si>
  <si>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</si>
  <si>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</si>
  <si>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</si>
  <si>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</si>
  <si>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</si>
  <si>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</si>
  <si>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</si>
  <si>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</si>
  <si>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</si>
  <si>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</si>
  <si>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</si>
  <si>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</si>
  <si>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</si>
  <si>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</si>
  <si>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</si>
  <si>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</si>
  <si>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Целевая субсидия на проведение ремонта в муниципальных бюджетных общеобразовательных учреждениях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</si>
  <si>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</si>
  <si>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</si>
  <si>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2 02 03021 04 0000 151</t>
  </si>
  <si>
    <t>2 02 03029 04 0000 151</t>
  </si>
  <si>
    <t>2 02 03078 04 0000 151</t>
  </si>
  <si>
    <t>Субвенции бюджетам городских округов на модернизацию региональных систем общего образования</t>
  </si>
  <si>
    <t>2 07 04000 04 0000 180</t>
  </si>
  <si>
    <t>2 02 03055 04 0000 151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</si>
  <si>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</si>
  <si>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</si>
  <si>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</si>
  <si>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1 16 18040 04 0000 140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</si>
  <si>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</si>
  <si>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</si>
  <si>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2 02 02077 04 0000 151</t>
  </si>
  <si>
    <t>Прочие безвозмездные поступления в  бюджеты городских округов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</si>
  <si>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</si>
  <si>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</si>
  <si>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</si>
  <si>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</si>
  <si>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</si>
  <si>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</si>
  <si>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</si>
  <si>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 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</si>
  <si>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</si>
  <si>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</si>
  <si>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</si>
  <si>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</si>
  <si>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</si>
  <si>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</si>
  <si>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</si>
  <si>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Целевая субсидия на выполнение проектных работ "Санитарно-защитной зоны" МАУ "ГС "Авангард"</t>
  </si>
  <si>
    <t>Целевая субсидия на установку узлов учета коммунальных ресурсов</t>
  </si>
  <si>
    <t>1003 -795 04 00 - 323</t>
  </si>
  <si>
    <t>1003 -795 04 00 - 314</t>
  </si>
  <si>
    <t>Мероприятия по гражданской обороне</t>
  </si>
  <si>
    <t>04</t>
  </si>
  <si>
    <t>ОБРАЗОВАНИЕ</t>
  </si>
  <si>
    <t>Дошкольное образование</t>
  </si>
  <si>
    <t>Лесное хозяйство</t>
  </si>
  <si>
    <t>Прочие расходы (проведение мероприятий)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</si>
  <si>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</si>
  <si>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</si>
  <si>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</si>
  <si>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</si>
  <si>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</si>
  <si>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</si>
  <si>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</si>
  <si>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</si>
  <si>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</si>
  <si>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</si>
  <si>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</si>
  <si>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</si>
  <si>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</si>
  <si>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</si>
  <si>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</si>
  <si>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</si>
  <si>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</si>
  <si>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>0709 - 795 02 00 - 612</t>
  </si>
  <si>
    <t>0901 - 795 02 00 - 611</t>
  </si>
  <si>
    <t>120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</si>
  <si>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</si>
  <si>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</si>
  <si>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</si>
  <si>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</si>
  <si>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218 01 00</t>
  </si>
  <si>
    <t>219 01 00</t>
  </si>
  <si>
    <t>Обеспечение пожарной безопасности</t>
  </si>
  <si>
    <t>310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</si>
  <si>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</si>
  <si>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</si>
  <si>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</si>
  <si>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</si>
  <si>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</si>
  <si>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</si>
  <si>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</si>
  <si>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</si>
  <si>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</si>
  <si>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</si>
  <si>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</si>
  <si>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</si>
  <si>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</si>
  <si>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Обеспечение жильем инв. войны и уч. боевых действий, уч. ВОВ, вет. боевых действий, военнослужащих, проходивших военную службу в период ВОВ, граждан награжденных знаком "Жителю блокадного Ленинграда", раб-их на военных объектах в период ВОВ, семей погибших в годы ВОВ</t>
  </si>
  <si>
    <t>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 годов", часть 1, статья 1.</t>
  </si>
  <si>
    <t>Подготовка населения и организаций к действиям в чрезвычайной ситуации в мирное и военное время</t>
  </si>
  <si>
    <t>505 86 01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</si>
  <si>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</si>
  <si>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</si>
  <si>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</si>
  <si>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</si>
  <si>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</si>
  <si>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</si>
  <si>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</si>
  <si>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</si>
  <si>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</si>
  <si>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</si>
  <si>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</si>
  <si>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</si>
  <si>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</si>
  <si>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</si>
  <si>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</si>
  <si>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</si>
  <si>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</si>
  <si>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</si>
  <si>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</si>
  <si>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</si>
  <si>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</si>
  <si>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</si>
  <si>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</si>
  <si>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</si>
  <si>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</si>
  <si>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</si>
  <si>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0701 - 795 02 20 - 621</t>
  </si>
  <si>
    <t>0901- 795 10 00 - 612</t>
  </si>
  <si>
    <t xml:space="preserve">Мероприятия в сфере культуры и кинематографии </t>
  </si>
  <si>
    <t>Аренда помещений Повадинской и Ямской амбулаторий</t>
  </si>
  <si>
    <t>0709 - 795 01 52 -621</t>
  </si>
  <si>
    <t>0701-795 03 20 -611</t>
  </si>
  <si>
    <t>0701-795 03 20 -621</t>
  </si>
  <si>
    <t>0702-795 03 21 -611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</si>
  <si>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</si>
  <si>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</si>
  <si>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</si>
  <si>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</si>
  <si>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</si>
  <si>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</si>
  <si>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</si>
  <si>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</si>
  <si>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0707- 795 09 00 - 320</t>
  </si>
  <si>
    <t>0707- 795 09 00 - 612</t>
  </si>
  <si>
    <t>0707- 795 09 00 - 622</t>
  </si>
  <si>
    <t>0902- 795 10 00 - 612</t>
  </si>
  <si>
    <t>1101- 795 11 00 - 611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</si>
  <si>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</si>
  <si>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</si>
  <si>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</si>
  <si>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0801- 795 13 00 - 612</t>
  </si>
  <si>
    <t>0501-795 14 00 - 810</t>
  </si>
  <si>
    <t>1003 - 795 01 00 -321</t>
  </si>
  <si>
    <t>0909- 795 10 00 -612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</si>
  <si>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</si>
  <si>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</si>
  <si>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</si>
  <si>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</si>
  <si>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Всего по долгосрочным целевым программам</t>
  </si>
  <si>
    <t>Расходы бюджета городского округа</t>
  </si>
  <si>
    <t xml:space="preserve">Сумма 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</si>
  <si>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</si>
  <si>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</si>
  <si>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</si>
  <si>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</si>
  <si>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092 02 00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</si>
  <si>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</si>
  <si>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</si>
  <si>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</si>
  <si>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</si>
  <si>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</si>
  <si>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</si>
  <si>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</si>
  <si>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</si>
  <si>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</si>
  <si>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</si>
  <si>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</si>
  <si>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</si>
  <si>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</si>
  <si>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</si>
  <si>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Мероприятия в области спорта и физической культуры, туризма</t>
  </si>
  <si>
    <t>611</t>
  </si>
  <si>
    <t>415</t>
  </si>
  <si>
    <t>Бюджетные инвестиции в объекты капитального строительства, собственности муниципальных образований (Разработка ПСД, ПИР школы на 230 мест, ул. Телеграфная, д. 11, м-н Белые Столбы)</t>
  </si>
  <si>
    <t>Резервные фонды</t>
  </si>
  <si>
    <t>520</t>
  </si>
  <si>
    <t>000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</si>
  <si>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</si>
  <si>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</si>
  <si>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</si>
  <si>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</si>
  <si>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</si>
  <si>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</si>
  <si>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</si>
  <si>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</si>
  <si>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</si>
  <si>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</si>
  <si>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</si>
  <si>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</si>
  <si>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</si>
  <si>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</si>
  <si>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</si>
  <si>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Государственная поддержка в сфере образования</t>
  </si>
  <si>
    <t>436 01 00</t>
  </si>
  <si>
    <t>436 02 00</t>
  </si>
  <si>
    <t>452 99 00</t>
  </si>
  <si>
    <t>Субсидии по Федеральной целевой программе "Социальное развитие села до 2012г."</t>
  </si>
  <si>
    <t>522 03 52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</si>
  <si>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</si>
  <si>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</si>
  <si>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</si>
  <si>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</si>
  <si>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</si>
  <si>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</si>
  <si>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</si>
  <si>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</si>
  <si>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</si>
  <si>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</si>
  <si>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Долгосрочная целевая программа Московской области "Молодое поколение Подмосковья на 2013-2015 годы"</t>
  </si>
  <si>
    <t>522 10 00</t>
  </si>
  <si>
    <t xml:space="preserve">Организация и осуществление мероприятий по работе с детьми и молодежью  Московской области </t>
  </si>
  <si>
    <t>522 10 04</t>
  </si>
  <si>
    <t>Целевая субсидия на проведение  ремонта прогулочных веранд в автономных  учреждениях</t>
  </si>
  <si>
    <t>Целевая субсидия на проведение работ по монтажу приточно-вытяжной вентиляции в муниципальных автономных общеобразовательных учреждениях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</si>
  <si>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</si>
  <si>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</si>
  <si>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</si>
  <si>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</si>
  <si>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</si>
  <si>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</si>
  <si>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</si>
  <si>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</si>
  <si>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</si>
  <si>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</si>
  <si>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</si>
  <si>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</si>
  <si>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</si>
  <si>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</si>
  <si>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</si>
  <si>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</si>
  <si>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1 12 01 010 01 0000 120</t>
  </si>
  <si>
    <t>Плата за выбросы загрязняющих веществ в атмосферный воздух передвижными объектами</t>
  </si>
  <si>
    <t>1 12 01 020 01 0000 120</t>
  </si>
  <si>
    <t>Плата за сбросы загрязняющих веществ в водные объекты</t>
  </si>
  <si>
    <t>1 12 01 030 01 0000 120</t>
  </si>
  <si>
    <t>Плата за размещение отходов производства потребления</t>
  </si>
  <si>
    <t>1 12 01 040 01 0000 120</t>
  </si>
  <si>
    <t>0702-795 03 21 -621</t>
  </si>
  <si>
    <t>0702-795 03 22 -611</t>
  </si>
  <si>
    <t xml:space="preserve">Долгосрочная целевая программа Московской области "Развитие здравоохранения Московской области на 2013-2015 годы" </t>
  </si>
  <si>
    <t>Долгосрочная целевая программа Московской области "Развитие здравоохранения Московской области на 2013-2015 годы" - Оснащение оборудованием</t>
  </si>
  <si>
    <t xml:space="preserve">Целевая субсидия на приобретение и установку оборудования, ремонт ограждения 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</si>
  <si>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</si>
  <si>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</si>
  <si>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</si>
  <si>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</si>
  <si>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Бюджетные инвестиции в объекты капитального строительства, не включенные в целевые программы</t>
  </si>
  <si>
    <t>Международные отношения и международное сотрудничество</t>
  </si>
  <si>
    <t>522 03 00</t>
  </si>
  <si>
    <t>021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</si>
  <si>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</si>
  <si>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</si>
  <si>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Больницы, клиники, госпитали, медико-санитарные части</t>
  </si>
  <si>
    <t>Целевая субсидия  бюджетным учреждениям на уплату налога на имущество за 2011 год</t>
  </si>
  <si>
    <t>Целевая субсидия на  ремонт недвижимого имущества, устройство инженерных сетей, приобретение материальных запасов для ремонта</t>
  </si>
  <si>
    <t>Целевая субсидия на приобретение книжной продукции и основных средств</t>
  </si>
  <si>
    <t>Целевая субсидия на оформление и услуги по оформлению проектно-разрешительной документации, прохождению экспертизы газификации котельной по  МАУК "ГПКиО "Елочки"</t>
  </si>
  <si>
    <t>Целевая субсидия на составление ПСД, ПИР, согласование документации  МАУК "ГПКиО "Елочки"</t>
  </si>
  <si>
    <t>Выплата единовременной материальной помощи бывшим несовершеннолетним узникам концлагерей*</t>
  </si>
  <si>
    <t>505 86 07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</si>
  <si>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</si>
  <si>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</si>
  <si>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</si>
  <si>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Субсидии некоммерческим организациям (за исключением муниципальных учреждений)</t>
  </si>
  <si>
    <t>630</t>
  </si>
  <si>
    <t>431 99 00</t>
  </si>
  <si>
    <t>450 05 00</t>
  </si>
  <si>
    <t>Субсидии на поддержку социально значимых проектов в сфере периодической печати</t>
  </si>
  <si>
    <t>330 00 00</t>
  </si>
  <si>
    <t>471 99 04</t>
  </si>
  <si>
    <t>Станции скорой и неотложной помощи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</si>
  <si>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</si>
  <si>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</si>
  <si>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центров, станций и отделений переливания крови (прочие расходы)</t>
  </si>
  <si>
    <t>Целевые субсидии автономным учреждениям</t>
  </si>
  <si>
    <t>Целевая субсидия на капитальный ремонт помещения МБУ ФОКИ "Старт"</t>
  </si>
  <si>
    <t>Целевая субсидия на установку пластиковых окон, демонтаж, приобретение и установка дверей в МБУ " МКЦ "Победа"</t>
  </si>
  <si>
    <t>Целевая субсидия на установку перил центрального входа МБУ "МКЦ "Победа"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</si>
  <si>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</si>
  <si>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</si>
  <si>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</si>
  <si>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</si>
  <si>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</si>
  <si>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</si>
  <si>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</si>
  <si>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</si>
  <si>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</si>
  <si>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</si>
  <si>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</si>
  <si>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</si>
  <si>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423</t>
  </si>
  <si>
    <t>Выплата семьям опекунов на содержание подопечных детей</t>
  </si>
  <si>
    <t>424</t>
  </si>
  <si>
    <t>Федеральная целевая программа "Социальное развитие села до 2010г."</t>
  </si>
  <si>
    <t xml:space="preserve">                       к  Решению Совета депутатов</t>
  </si>
  <si>
    <t>Областная целевая программа "Развитие образования в Московской области на 2013 - 2015 годы"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</si>
  <si>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524 39 00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</si>
  <si>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</si>
  <si>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</si>
  <si>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</si>
  <si>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</si>
  <si>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</si>
  <si>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795 01 52</t>
  </si>
  <si>
    <t>795 13 00</t>
  </si>
  <si>
    <t>Бюджетные инвестиции (Реконструкция приемного покоя ЦРБ)</t>
  </si>
  <si>
    <t>505 34 02</t>
  </si>
  <si>
    <t>505 86 22</t>
  </si>
  <si>
    <t>Мероприятия в сфере культуры, кинематографии и средств массовой информации</t>
  </si>
  <si>
    <t>450 00 00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</si>
  <si>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</si>
  <si>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</si>
  <si>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</si>
  <si>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</si>
  <si>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</si>
  <si>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</si>
  <si>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13</t>
  </si>
  <si>
    <t>Мероприятия по землеустройству и землепользованию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</si>
  <si>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</si>
  <si>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</si>
  <si>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</si>
  <si>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</si>
  <si>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Программа "Профилактика преступлений и иных правонарушений на территории городского округа Домодедово на  2012-2014 годы"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</si>
  <si>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</si>
  <si>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</si>
  <si>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</si>
  <si>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</si>
  <si>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</si>
  <si>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</si>
  <si>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Выполнение функций государственными органами</t>
  </si>
  <si>
    <t>Физическая культура и спорт</t>
  </si>
  <si>
    <t>Пособия и компенсации гражданам и иные социальные выплаты, кроме публичных нормативных обязательств (приобретение школьной формы для детей из многодетных семей)</t>
  </si>
  <si>
    <t>Целевая субсидия на технологическое присоединение к электрическим сетям МБДОУ д/с № 23 "Золотой ключик" в г. Домодедово, мкр. Западный на 250 мест</t>
  </si>
  <si>
    <t>Выплата единовременной материальной помощи участникам Сталинградской битвы*</t>
  </si>
  <si>
    <t>505 86 12</t>
  </si>
  <si>
    <t xml:space="preserve">Федеральная целевая программа "Жилище" на 2011-2015 годы </t>
  </si>
  <si>
    <t>505 21 02</t>
  </si>
  <si>
    <t>0702 - 795 01 23 - 612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</si>
  <si>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</si>
  <si>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</si>
  <si>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</si>
  <si>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</si>
  <si>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0701-795 01 20 -622</t>
  </si>
  <si>
    <t>0702-795 01 21 -612</t>
  </si>
  <si>
    <t>0702-795 01 21 -622</t>
  </si>
  <si>
    <t>* Публичные нормативные обязательства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</si>
  <si>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</si>
  <si>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</si>
  <si>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</si>
  <si>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</si>
  <si>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</si>
  <si>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</si>
  <si>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</si>
  <si>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1020102</t>
  </si>
  <si>
    <t>1020000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</si>
  <si>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</si>
  <si>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</si>
  <si>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</si>
  <si>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</si>
  <si>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по разделам, подразделам, целевым статьям и видам расходов бюджетов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</si>
  <si>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</si>
  <si>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</si>
  <si>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</si>
  <si>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Целевая субсидия на проведение ремонта в автономных  учреждениях</t>
  </si>
  <si>
    <t xml:space="preserve">Целевая субсидия на приобретение и установку оборудования </t>
  </si>
  <si>
    <t>Бюджетные инвестиции (Строительство детского сада на 190 мест в микрорайоне Авиационный, ул. Жуковского)</t>
  </si>
  <si>
    <t>Бюджетные инвестиции на строительство детского сада на 120 мест в микрорайоне "Центральный", ул. Школьная</t>
  </si>
  <si>
    <t>Бюджетные инвестиции на  разработку ПСД, ПИР детского сада на 120 мест в микрорайоне "Центральный", ул. Школьная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</si>
  <si>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</si>
  <si>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</si>
  <si>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</si>
  <si>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</si>
  <si>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</si>
  <si>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</si>
  <si>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</si>
  <si>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Целевая субсидия на замену окон, приобретение и установкуоборудования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</si>
  <si>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</si>
  <si>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</si>
  <si>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</si>
  <si>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</si>
  <si>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</si>
  <si>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</si>
  <si>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</si>
  <si>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</si>
  <si>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</si>
  <si>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</si>
  <si>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0701 - 795 01 20 - 415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</si>
  <si>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</si>
  <si>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</si>
  <si>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Профилактика преступлений и иных правонарушений на территории городского округа Домодедово на 2012-2014 годы (в школах)</t>
  </si>
  <si>
    <t>Долгосрочная целевая программа Московской области Содействие занятости населения Московской области на 2013-2015 годы"</t>
  </si>
  <si>
    <t>522 36 00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</si>
  <si>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с1 сентября 2013 года</t>
  </si>
  <si>
    <t>522 36 07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</si>
  <si>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</si>
  <si>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</si>
  <si>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430 70 23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</si>
  <si>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</si>
  <si>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</si>
  <si>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</si>
  <si>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Целевая субсидия на капитальный ремонт кровли и замену окон СДК "Павловское"</t>
  </si>
  <si>
    <t>345 01 00</t>
  </si>
  <si>
    <t>345 00 00</t>
  </si>
  <si>
    <t>Малое и среднее предпринимательство</t>
  </si>
  <si>
    <t>Субсидии на государственную поддержку малого исреднего предпринимательства, включая крестьянские (фермерские) хозяйства</t>
  </si>
  <si>
    <t>Целевая субсидияна ремонт подвесного пешеходного моста с. Битягово</t>
  </si>
  <si>
    <t>522 15 01</t>
  </si>
  <si>
    <t>452 02 00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</si>
  <si>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</si>
  <si>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</si>
  <si>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</si>
  <si>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</si>
  <si>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</si>
  <si>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</si>
  <si>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</si>
  <si>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</si>
  <si>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Долгосрочная целевая программа Московской области "Развитие образования в Московской области в 2013-2015 годы"</t>
  </si>
  <si>
    <t>524 00 00</t>
  </si>
  <si>
    <t>524 21 00</t>
  </si>
  <si>
    <t xml:space="preserve">Областная целевая программа "Развитие образования в Московской области на 2013 - 2015 годы"  </t>
  </si>
  <si>
    <t>524 35 00</t>
  </si>
  <si>
    <t>Федеральная целевая программа "Социальное развитие села до 2013 года."</t>
  </si>
  <si>
    <t>100 11 99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</si>
  <si>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за счет средств перечисляемых из федерального бюджета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</si>
  <si>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межшкольных учебно-производственных комбинатов</t>
  </si>
  <si>
    <t>Целевая субсидия на приобретение оборудования и инвентаря  МБДОУ детский сад комбинированного типа № 23 "Золотой ключик"</t>
  </si>
  <si>
    <t>Бюджетные инвестиции  на приобретение оборудования МБДОУ детский сад комбинированного типа № 23 "Золотой ключик"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</si>
  <si>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</si>
  <si>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</si>
  <si>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</si>
  <si>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Целевая субсидия на  ремонт кровли ФОК "Фокус"</t>
  </si>
  <si>
    <t>Бюджетные инвестиции на строительство сетей уличного освещения</t>
  </si>
  <si>
    <t>0702 - 795 02 21 - 611</t>
  </si>
  <si>
    <t>0702 - 795 02 21 - 621</t>
  </si>
  <si>
    <t>0709 - 795 02 00 -244</t>
  </si>
  <si>
    <t>0702 - 795 02 23 - 611</t>
  </si>
  <si>
    <t>0314- 795 02 00 -880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</si>
  <si>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</si>
  <si>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</si>
  <si>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</si>
  <si>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</si>
  <si>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</si>
  <si>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</si>
  <si>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</si>
  <si>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</si>
  <si>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</si>
  <si>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</si>
  <si>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Субсидия на капитальный ремонт подъездов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</si>
  <si>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</si>
  <si>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</si>
  <si>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</si>
  <si>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</si>
  <si>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</si>
  <si>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</si>
  <si>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</si>
  <si>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</si>
  <si>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</si>
  <si>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</si>
  <si>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</si>
  <si>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</si>
  <si>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</si>
  <si>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Целевая субсидия на устройство эвакуационного выхода в МАУ "СК "Атлант"</t>
  </si>
  <si>
    <t>303 30 02</t>
  </si>
  <si>
    <t>0702-795 01 23 -612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</si>
  <si>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</si>
  <si>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</si>
  <si>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</si>
  <si>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</si>
  <si>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</si>
  <si>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</si>
  <si>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>Процентные платежи по долговым обязательствам</t>
  </si>
  <si>
    <t>Управление  здравоохранения</t>
  </si>
  <si>
    <t>Субсидии бюджетам субъектов Российской Федерации и муниципальных образований (межбюджетные субсидии)</t>
  </si>
  <si>
    <t>Финансовая поддержка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</si>
  <si>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</si>
  <si>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</si>
  <si>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Прочие неналоговые доходы  бюджетов городских округов</t>
  </si>
  <si>
    <t>2 02 02008 04 0000 151</t>
  </si>
  <si>
    <t>Бюджетные инвестиции в объекты капитального строительства не включенные в целевые программы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</si>
  <si>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</si>
  <si>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</si>
  <si>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</si>
  <si>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</si>
  <si>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</si>
  <si>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</si>
  <si>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Целевая субсидия на технологическое присоединение к детскому саду на 190 мест в микрорайонеАвиационный, ул, Жуковского</t>
  </si>
  <si>
    <t>Закупка товаров, работ услуг в целях капитального ремонта муниципального имущества</t>
  </si>
  <si>
    <t>0503 -795 18 00- 244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</si>
  <si>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</si>
  <si>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</si>
  <si>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</si>
  <si>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</si>
  <si>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                                        от  14.12.2012   №  1-4/495</t>
  </si>
  <si>
    <t xml:space="preserve">                        Приложение №  9 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</si>
  <si>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</si>
  <si>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</si>
  <si>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Целевая субсидия на монтаж тепловой завесы и технадзор на ремонт кровли</t>
  </si>
  <si>
    <t>Технологическое присоединение инфекционного корпуса к электрической сети</t>
  </si>
  <si>
    <t>Приобретение оборудования и работы по восстановлению работоспособности системы видеонаблюдения и АПС</t>
  </si>
  <si>
    <t>Бюджетные инвестиции в объекты государственной собственности автономным учреждениям (проектные работы на дошкольное образовательное учреждение на 190 мест по адресу: мкр. Авиационный, ул. Жуковского)</t>
  </si>
  <si>
    <t>Целевая субсидия на монтаж и установку пожарной и охранной сигнализации в МАОУ Домодедовской гимназии №5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</si>
  <si>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</si>
  <si>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Состояние окружающей среды и природопользования </t>
  </si>
  <si>
    <t>442 30 20</t>
  </si>
  <si>
    <t>Субсидии бюджетным учреждениям на иные цели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</si>
  <si>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</si>
  <si>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</si>
  <si>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</si>
  <si>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</si>
  <si>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Выплата единовременной материальной помощи гражданам пострадавшим от радиационных воздействий*</t>
  </si>
  <si>
    <t>505 86 06</t>
  </si>
  <si>
    <t>Прочие неналоговые доходы</t>
  </si>
  <si>
    <t>1 17 05000 00 0000 180</t>
  </si>
  <si>
    <t xml:space="preserve">Прочие неналоговые доходы 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</si>
  <si>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</si>
  <si>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</si>
  <si>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</si>
  <si>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</si>
  <si>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</si>
  <si>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</si>
  <si>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</si>
  <si>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</si>
  <si>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</si>
  <si>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Иные выплаты персоналу за исключением фонда оплаты труда </t>
  </si>
  <si>
    <t>Профилактика преступлений и иных правонарушений на территории городского округа Домодедово на 2012-2014 годы</t>
  </si>
  <si>
    <t>02</t>
  </si>
  <si>
    <t>Обеспечение малоимущих граждан жилыми помещениями</t>
  </si>
  <si>
    <t xml:space="preserve">Приложение №  2   </t>
  </si>
  <si>
    <t>от  14.12.2012  №  1-4/495</t>
  </si>
  <si>
    <t xml:space="preserve">Поступления доходов в бюджет городского округа в 2013 году </t>
  </si>
  <si>
    <t xml:space="preserve">Наименования  </t>
  </si>
  <si>
    <t xml:space="preserve">Код </t>
  </si>
  <si>
    <t>НАЛОГОВЫЕ И НЕНАЛОГОВЫЕ ДОХОДЫ</t>
  </si>
  <si>
    <t>1 00 00000 00 0000 000</t>
  </si>
  <si>
    <t xml:space="preserve">НАЛОГИ НА ПРИБЫЛЬ, ДОХОДЫ </t>
  </si>
  <si>
    <t>1 01 00000 00 0000 000</t>
  </si>
  <si>
    <t>Налог на прибыль организаций</t>
  </si>
  <si>
    <t>1 01 01000 00 0000 110</t>
  </si>
  <si>
    <t>Налог на прибыль организаций, зачисляемый в бюджеты субъектов Российской Федерации</t>
  </si>
  <si>
    <t>1 01 01012 02 0000 110</t>
  </si>
  <si>
    <t>Налог на доходы физических лиц</t>
  </si>
  <si>
    <t>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</si>
  <si>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</si>
  <si>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</si>
  <si>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</si>
  <si>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</si>
  <si>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</si>
  <si>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</si>
  <si>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Налогового кодекса Российской Федерации</t>
    </r>
  </si>
  <si>
    <t>1 01 02040 01 0000 110</t>
  </si>
  <si>
    <t>НАЛОГИ НА СОВОКУПНЫЙ ДОХОД</t>
  </si>
  <si>
    <t>1 05 00000 00 0000 000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</si>
  <si>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</si>
  <si>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</si>
  <si>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</si>
  <si>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</si>
  <si>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</si>
  <si>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</si>
  <si>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</si>
  <si>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</si>
  <si>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</si>
  <si>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</si>
  <si>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</si>
  <si>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Иные межбюджетные трансферты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</si>
  <si>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</si>
  <si>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</si>
  <si>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</si>
  <si>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</si>
  <si>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</si>
  <si>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</si>
  <si>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</si>
  <si>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</si>
  <si>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</si>
  <si>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</si>
  <si>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</si>
  <si>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</si>
  <si>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</si>
  <si>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</si>
  <si>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</si>
  <si>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477 99 00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</si>
  <si>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</si>
  <si>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</si>
  <si>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</si>
  <si>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</si>
  <si>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</si>
  <si>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065 00 00</t>
  </si>
  <si>
    <t>070 00 00</t>
  </si>
  <si>
    <t>НАЦИОНАЛЬНАЯ ЭКОНОМИКА</t>
  </si>
  <si>
    <t>Долгосрочная целевая программа Московской области "Повышение качества управления государственными финансами Московской области на период 2013-2015 годов"</t>
  </si>
  <si>
    <t>522 01 00</t>
  </si>
  <si>
    <t>2 02 03069 04 0000 151</t>
  </si>
  <si>
    <t>2 02 03070 04 0000 151</t>
  </si>
  <si>
    <t>2 02 03077 04 0000 151</t>
  </si>
  <si>
    <t>2 02 03999 04 0000 151</t>
  </si>
  <si>
    <t>Прочие субвенции бюджетам городских округов</t>
  </si>
  <si>
    <t>2 02 04012 04 0000 151</t>
  </si>
  <si>
    <t>2 02 04999 04 0000 151</t>
  </si>
  <si>
    <t>2 07 04020 04 0000 180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</si>
  <si>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</si>
  <si>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</si>
  <si>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</si>
  <si>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Обслуживание муниципального долга</t>
  </si>
  <si>
    <t>710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</si>
  <si>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</si>
  <si>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</si>
  <si>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</si>
  <si>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</si>
  <si>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</si>
  <si>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</si>
  <si>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</si>
  <si>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</si>
  <si>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</si>
  <si>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</si>
  <si>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</si>
  <si>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</si>
  <si>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</si>
  <si>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</si>
  <si>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</si>
  <si>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</si>
  <si>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</si>
  <si>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</si>
  <si>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</si>
  <si>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</si>
  <si>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</si>
  <si>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</si>
  <si>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</si>
  <si>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</si>
  <si>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</si>
  <si>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</si>
  <si>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Целевые субсидии автономным учреждениям, в том числе:</t>
  </si>
  <si>
    <t>795 02 20</t>
  </si>
  <si>
    <t>Проектирование детских дошкольных учреждений с бассейном, в том числе: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</si>
  <si>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</si>
  <si>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</si>
  <si>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</si>
  <si>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Целевая субсидия на проведение ремонта, приобретение оборудования и инвентаря для перепрофилирования групп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</si>
  <si>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</si>
  <si>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</si>
  <si>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</si>
  <si>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</si>
  <si>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</si>
  <si>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</si>
  <si>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</si>
  <si>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</si>
  <si>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2 02 03024 00 0000 151</t>
  </si>
  <si>
    <t>Расходы на содержание и обеспечение деятельности станций скорой и неотложной помощи (прочие расходы)</t>
  </si>
  <si>
    <t>522 13 00</t>
  </si>
  <si>
    <t>350 01 00</t>
  </si>
  <si>
    <t>Бюджетные инвестиции  (Реконструкция приемного покоя ЦРБ)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</si>
  <si>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</si>
  <si>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</si>
  <si>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</si>
  <si>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</si>
  <si>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</si>
  <si>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</si>
  <si>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</si>
  <si>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</si>
  <si>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</si>
  <si>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</si>
  <si>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</si>
  <si>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</si>
  <si>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</si>
  <si>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</si>
  <si>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</si>
  <si>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</si>
  <si>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110</t>
  </si>
  <si>
    <t>470 10 06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</si>
  <si>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</si>
  <si>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</si>
  <si>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</si>
  <si>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</si>
  <si>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</si>
  <si>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</si>
  <si>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</si>
  <si>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</si>
  <si>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</si>
  <si>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</si>
  <si>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</si>
  <si>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</si>
  <si>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</si>
  <si>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</si>
  <si>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</si>
  <si>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</si>
  <si>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</si>
  <si>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</si>
  <si>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 xml:space="preserve">Бюджетные инвестиции на приобретение оборудования </t>
  </si>
  <si>
    <t>795 03 20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</si>
  <si>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</si>
  <si>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</si>
  <si>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</si>
  <si>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</si>
  <si>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</si>
  <si>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</si>
  <si>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1101- 795 11 00 - 612</t>
  </si>
  <si>
    <t>1101- 795 11 00 - 622</t>
  </si>
  <si>
    <t>795 01 21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</si>
  <si>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</si>
  <si>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</si>
  <si>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</si>
  <si>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</si>
  <si>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</si>
  <si>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</si>
  <si>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</si>
  <si>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</si>
  <si>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</si>
  <si>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</si>
  <si>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</si>
  <si>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</si>
  <si>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</si>
  <si>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</si>
  <si>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</si>
  <si>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Целевая субсидия на проведение ремонта в муниципальных автономных общеобразовательных учреждениях</t>
  </si>
  <si>
    <t>0502 -795 06 00 - 810</t>
  </si>
  <si>
    <t>0904- 795 10 00 - 612</t>
  </si>
  <si>
    <t>0801- 795 13 00 - 622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</si>
  <si>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</si>
  <si>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</si>
  <si>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</si>
  <si>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</si>
  <si>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</si>
  <si>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</si>
  <si>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432 04 00</t>
  </si>
  <si>
    <t xml:space="preserve">от 14.12.2012   №  1-4/495  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</si>
  <si>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</si>
  <si>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</si>
  <si>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</si>
  <si>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>Бюджетные инвестиции на  приобретение звукового оборудования для МБУ  "ЦКД "Импульс"</t>
  </si>
  <si>
    <t>Бюджетные инвестиции на приобретение материалов и оборудования  для устройства водопровода вновь вводимого административного здания МАУК "ГПКиО "Елочки"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</si>
  <si>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</si>
  <si>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</si>
  <si>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</si>
  <si>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</si>
  <si>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</si>
  <si>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</si>
  <si>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</si>
  <si>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</si>
  <si>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</si>
  <si>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</si>
  <si>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</si>
  <si>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>Расходы на содержание и обеспечение деятельности фельдшерско-акушерских пунктов (оказание муниципальных услуг)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</si>
  <si>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</si>
  <si>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в том числе:</t>
  </si>
  <si>
    <t>Сумма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</si>
  <si>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</si>
  <si>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</si>
  <si>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</si>
  <si>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</si>
  <si>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</si>
  <si>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</si>
  <si>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</si>
  <si>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</si>
  <si>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</si>
  <si>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</si>
  <si>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</si>
  <si>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</si>
  <si>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</si>
  <si>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</si>
  <si>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</si>
  <si>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</si>
  <si>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</si>
  <si>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</si>
  <si>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0902- 795 02 00 - 611</t>
  </si>
  <si>
    <t>0904- 795 02 00 - 611</t>
  </si>
  <si>
    <t>521 01 00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</si>
  <si>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</si>
  <si>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</si>
  <si>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</si>
  <si>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</si>
  <si>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>795 11 03</t>
  </si>
  <si>
    <t>Доплаты к пенсиям, дополнительное пенсионное обеспечение</t>
  </si>
  <si>
    <t>491 00 00</t>
  </si>
  <si>
    <t>491 01 00</t>
  </si>
  <si>
    <t>500 00 00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</si>
  <si>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</si>
  <si>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</si>
  <si>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</si>
  <si>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</si>
  <si>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470 99 00</t>
  </si>
  <si>
    <t>600 02 00</t>
  </si>
  <si>
    <t>Прочие межбюджетные трансферты, передаваемые бюджетам городских округов</t>
  </si>
  <si>
    <t>ПРОЧИЕ БЕЗВОЗМЕЗДНЫЕ ПОСТУПЛЕНИЯ</t>
  </si>
  <si>
    <t>2 07 00000 00 0000 180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</si>
  <si>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</si>
  <si>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</si>
  <si>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</si>
  <si>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</si>
  <si>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</si>
  <si>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</si>
  <si>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</si>
  <si>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 xml:space="preserve">Целевая субсидия на составление ПСД и установку узлов учета коммунальных ресурсов </t>
  </si>
  <si>
    <t>0701 - 795 01 20 - 413</t>
  </si>
  <si>
    <t>0707- 795 09 00 - 244</t>
  </si>
  <si>
    <t>0707- 795 09 00 - 321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</si>
  <si>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</si>
  <si>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</si>
  <si>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</si>
  <si>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</si>
  <si>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</si>
  <si>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</si>
  <si>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</si>
  <si>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Поступления от денежных пожертвований, предоставляемых физическими лицами получатеям средств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</si>
  <si>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</si>
  <si>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</si>
  <si>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</si>
  <si>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ВСЕГО  ДОХОДОВ</t>
  </si>
  <si>
    <t>8 90 00000 00 0000 000</t>
  </si>
  <si>
    <t xml:space="preserve">Приложение № 4   </t>
  </si>
  <si>
    <t xml:space="preserve">от 14.12.2012   №  1-4/495 </t>
  </si>
  <si>
    <t xml:space="preserve">ИСТОЧНИКИ  ВНУТРЕННЕГО ФИНАНСИРОВАНИЯ  </t>
  </si>
  <si>
    <t>ДЕФИЦИТА  БЮДЖЕТА ГОРОДСКОГО ОКРУГА ДОМОДЕДОВО НА 2013 ГОД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</si>
  <si>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</si>
  <si>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Дефицит бюджета городского округа</t>
  </si>
  <si>
    <t>в % к общей сумме доходов без учета безвозмездных поступлений</t>
  </si>
  <si>
    <t>Источники внутреннего финансирования дефицита бюджета</t>
  </si>
  <si>
    <t xml:space="preserve">000 01 02 00 00 00 0000 000 </t>
  </si>
  <si>
    <t>Кредиты кредитных организаций в валюте Российской Федерации</t>
  </si>
  <si>
    <t>000 01 02 0000  00 0000 700</t>
  </si>
  <si>
    <t>Получение кредитов от кредитных организаций в валюте Российской Федерации</t>
  </si>
  <si>
    <t>017 01 02 00 00  04 0000 710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</si>
  <si>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</si>
  <si>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</si>
  <si>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</si>
  <si>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</si>
  <si>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</si>
  <si>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</si>
  <si>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Бюджетные кредиты от 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</si>
  <si>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</si>
  <si>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</si>
  <si>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017 01 03 01 00 04 0000 710</t>
  </si>
  <si>
    <t>Получение бюджетных кредитов от 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</si>
  <si>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</si>
  <si>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</si>
  <si>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017 01 03 01 00 04 0000 810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</si>
  <si>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</si>
  <si>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</si>
  <si>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</si>
  <si>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</si>
  <si>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</si>
  <si>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</si>
  <si>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</si>
  <si>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017 01 05 02 01 04 0000 510</t>
  </si>
  <si>
    <t>Увеличение прочих остатков денежных средств бюджетов городских округов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</si>
  <si>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</si>
  <si>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</si>
  <si>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</si>
  <si>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</si>
  <si>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017 01 05 02 01 04 0000 610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</si>
  <si>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</si>
  <si>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</si>
  <si>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</si>
  <si>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</si>
  <si>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</si>
  <si>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</si>
  <si>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</si>
  <si>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120 01 06 01 00 04 0000 630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</si>
  <si>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</si>
  <si>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</si>
  <si>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</t>
  </si>
  <si>
    <t>000 01 06 04 01 00 0000 000</t>
  </si>
  <si>
    <t>Исполнение государственных и муципальных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</si>
  <si>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</si>
  <si>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</si>
  <si>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017 01 06 04 01 04 0000 810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</si>
  <si>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</si>
  <si>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</si>
  <si>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</si>
  <si>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</si>
  <si>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</si>
  <si>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017 01 06 05 01 04 0000 640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</si>
  <si>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</si>
  <si>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000 01 06 05 00 00 0000 500</t>
  </si>
  <si>
    <t>Предоставление  бюджетных кредитов  внутри страны в валюте Российской Федерации</t>
  </si>
  <si>
    <t>017 01 06 05 01 04 0000 540</t>
  </si>
  <si>
    <t>Предоставление бюджетных кредитов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</si>
  <si>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</si>
  <si>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</si>
  <si>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</si>
  <si>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</si>
  <si>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017 01 06 06 00 04 0000 710</t>
  </si>
  <si>
    <t>Привлечение прочих источников внутреннего финансирования дефицита бюджета городского округа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</si>
  <si>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</si>
  <si>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</si>
  <si>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</si>
  <si>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</si>
  <si>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 годов"</t>
  </si>
  <si>
    <t>505 21 00</t>
  </si>
  <si>
    <t>505 21 04</t>
  </si>
  <si>
    <t>Государственная пошлина за выдачу разрешения на установку рекламной конструкции</t>
  </si>
  <si>
    <t>1 11 01040 04 0000 120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</si>
  <si>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</si>
  <si>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</si>
  <si>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</si>
  <si>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</si>
  <si>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</si>
  <si>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</si>
  <si>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</si>
  <si>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Минимальный налог, зачисляемый в бюджеты субъектов Российской Федерации</t>
  </si>
  <si>
    <t>1 05 01050 01 0000 110</t>
  </si>
  <si>
    <t>Единый налог на вмененный доход для отдельных видов деятельности</t>
  </si>
  <si>
    <t>1 05 02000 02 0000 110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</si>
  <si>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</si>
  <si>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</si>
  <si>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</si>
  <si>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Единый сельскохозяйственный налог </t>
  </si>
  <si>
    <t>1 05 03000 01 0000 110</t>
  </si>
  <si>
    <t>1 05 03010 01 0000 110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</si>
  <si>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</si>
  <si>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</si>
  <si>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</si>
  <si>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</si>
  <si>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</si>
  <si>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</si>
  <si>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</si>
  <si>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</si>
  <si>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</si>
  <si>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</si>
  <si>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</si>
  <si>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</si>
  <si>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</si>
  <si>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</si>
  <si>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</si>
  <si>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</si>
  <si>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</si>
  <si>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</si>
  <si>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</si>
  <si>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</si>
  <si>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</si>
  <si>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</si>
  <si>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</si>
  <si>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</si>
  <si>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</si>
  <si>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</si>
  <si>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</si>
  <si>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</si>
  <si>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</si>
  <si>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</si>
  <si>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</si>
  <si>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</si>
  <si>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</si>
  <si>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</si>
  <si>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 xml:space="preserve">1 08 07150 01 0000 110 </t>
  </si>
  <si>
    <t xml:space="preserve">ЗАДОЛЖЕННОСТЬ И ПЕРЕРАСЧЕТЫ ПО ОТМЕНЕННЫМ НАЛОГАМ, СБОРАМ И ИНЫМ ОБЯЗАТЕЛЬНЫМ ПЛАТЕЖАМ </t>
  </si>
  <si>
    <t>1 09 00000 00 0000 000</t>
  </si>
  <si>
    <t xml:space="preserve">Налог на прибыль  организаций, зачислявшийся до 1 января 2005 года в местные бюджеты  </t>
  </si>
  <si>
    <t>1 09 01000 00 0000 110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</si>
  <si>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</si>
  <si>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</si>
  <si>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</si>
  <si>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</si>
  <si>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</si>
  <si>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</si>
  <si>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</si>
  <si>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1 09 04052 04 0000 110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</si>
  <si>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</si>
  <si>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</si>
  <si>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</si>
  <si>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</si>
  <si>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Целевая субсидия на проведение сертификации в области физической культуры и спорта "Спорт Стандарт"</t>
  </si>
  <si>
    <t>795 20 00</t>
  </si>
  <si>
    <t>Ремонт и содержание дорог и тротуаров городского округа Домодедово на 2013-2015 годы</t>
  </si>
  <si>
    <t>0804- 795 13 00 - 611</t>
  </si>
  <si>
    <t>0409 -795 20 00 - 611</t>
  </si>
  <si>
    <t>0409 -795 20 00 - 243</t>
  </si>
  <si>
    <t>1003 -795 21 00 -322</t>
  </si>
  <si>
    <t>440 99 03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</si>
  <si>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</si>
  <si>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</si>
  <si>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</si>
  <si>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</si>
  <si>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расходы для осуществления полномочий по вопросам местного значения</t>
  </si>
  <si>
    <t>Код ФКР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</si>
  <si>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</si>
  <si>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</si>
  <si>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</si>
  <si>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</si>
  <si>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</si>
  <si>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</si>
  <si>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</si>
  <si>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Финансовая поддержка на возвратной основе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</si>
  <si>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</si>
  <si>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</si>
  <si>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Субсидия на приобретение оборудования</t>
  </si>
  <si>
    <t xml:space="preserve">10 </t>
  </si>
  <si>
    <t xml:space="preserve">Бюджетные инвестиции  на приобретение основных средств 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</si>
  <si>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</si>
  <si>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</si>
  <si>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</si>
  <si>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</si>
  <si>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</si>
  <si>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</si>
  <si>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</si>
  <si>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</si>
  <si>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</si>
  <si>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</si>
  <si>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</si>
  <si>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</si>
  <si>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</si>
  <si>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</si>
  <si>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</si>
  <si>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</si>
  <si>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</si>
  <si>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</si>
  <si>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</si>
  <si>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1 13 02994 04 0000 130</t>
  </si>
  <si>
    <t>1 14 01040 04 0000 410</t>
  </si>
  <si>
    <t>1 14 02042 04 0000 410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</si>
  <si>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</si>
  <si>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</si>
  <si>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</si>
  <si>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</si>
  <si>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</si>
  <si>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</si>
  <si>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</si>
  <si>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1 14 06012 04 0000 430</t>
  </si>
  <si>
    <t>1 17 01040 04 0000 180</t>
  </si>
  <si>
    <t>1 17 05040 04 0001 180</t>
  </si>
  <si>
    <t>1 17 05040 04 0600 180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</si>
  <si>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</si>
  <si>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</si>
  <si>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1 16 90040 04 0000 140</t>
  </si>
  <si>
    <t>1 17 05040 04 0000 180</t>
  </si>
  <si>
    <t>0705 - 795 01 00 - 122</t>
  </si>
  <si>
    <t>0409 -795 20 00 - 244</t>
  </si>
  <si>
    <t>0410 - 795 16 00 - 242</t>
  </si>
  <si>
    <t xml:space="preserve">                        к  Решению Совета депутатов</t>
  </si>
  <si>
    <t>2 07 04050 04 0000 180</t>
  </si>
  <si>
    <t>Прочие безвозмездные поступления в бюджеты городских округов</t>
  </si>
  <si>
    <t>2 19 04000 04 0000 151</t>
  </si>
  <si>
    <t>Невыясненные поступления, зачисляемые в  бюджеты городских округов</t>
  </si>
  <si>
    <t>2 02 02042 04 0000 151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</si>
  <si>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</si>
  <si>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</si>
  <si>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</si>
  <si>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</si>
  <si>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</si>
  <si>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</si>
  <si>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</si>
  <si>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</si>
  <si>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470 99 02</t>
  </si>
  <si>
    <t>Бюджетные инвестиции на разработку ПСД, ПИР филиала МАДОУ детского сада № 8 "Белочка" на 160 мест в г. Домодедово, мкр. Западный (МБДОУ детский сад общеразвивающего вида № 36 "Сказка")</t>
  </si>
  <si>
    <t>Центры спортивной подготовки (сборные команды)</t>
  </si>
  <si>
    <t>482 00 00</t>
  </si>
  <si>
    <t>Периодические издания, учрежденные органами законодательной и исполнительной власти</t>
  </si>
  <si>
    <t>457 00 00</t>
  </si>
  <si>
    <t>Внедрение инновационных образовательных программ</t>
  </si>
  <si>
    <t xml:space="preserve">Наименование </t>
  </si>
  <si>
    <t>505 86 18</t>
  </si>
  <si>
    <t>Целевые субсидии бюджетным  учреждениям, в том числе:</t>
  </si>
  <si>
    <t>Программа "Профилактика преступлений и иных правонарушений на территории городского округа Домодедово на 2012-2014 годы"</t>
  </si>
  <si>
    <t>Целевая субсидия на приобретение основных средств и оргтехники</t>
  </si>
  <si>
    <t>Улучшение жилищных условий семей, имеющих семь и более детей, в городском округе Домодедово на 2013-2015 годы</t>
  </si>
  <si>
    <t>795 21 00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</si>
  <si>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</si>
  <si>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</si>
  <si>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</si>
  <si>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</si>
  <si>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Приложение №1</t>
  </si>
  <si>
    <t>Приложение № 1</t>
  </si>
  <si>
    <t>от 14.12.2012   №  1-4/495</t>
  </si>
  <si>
    <t xml:space="preserve">Перечень главных администраторов </t>
  </si>
  <si>
    <t xml:space="preserve">  доходов бюджета городского округа на 2013 год</t>
  </si>
  <si>
    <t>Код администратора</t>
  </si>
  <si>
    <t>Код классификации доходов</t>
  </si>
  <si>
    <t>Наименования видов отдельных доходных источников</t>
  </si>
  <si>
    <t>1 08 07150 01 0000 110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</si>
  <si>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</si>
  <si>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</si>
  <si>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</si>
  <si>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</si>
  <si>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</si>
  <si>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1 11 09034 04 0000 120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</si>
  <si>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</si>
  <si>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</si>
  <si>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Целевая субсидия на  ремонт электросилового оборудования в ГДК "Авиатор"</t>
  </si>
  <si>
    <t>Целевая субсидия на ремонт кровли, приобретение и установку ограждения ГДК и С "Мир"</t>
  </si>
  <si>
    <t>Целевая субсидия на проведение топографической съемки земельного участка МБУ "ЦФКС "Горизонт"</t>
  </si>
  <si>
    <t>Целевая субсидия на оформление земельного участка МБУ "ЦФКС "Горизонт" под спортивную площадку в с. Ильинское</t>
  </si>
  <si>
    <t>Целевая субсидия на приобретение светового оборудования</t>
  </si>
  <si>
    <t>Целевая субсидия на  ремонт главного распределительного щитка, демонтаж оборудования, установка клапанов дымоудаления, ремонт кровли в СДК "Русь"</t>
  </si>
  <si>
    <t>Целевая субсидия на замену окон, приобретение и установку оборудования, мебели, оргтехники</t>
  </si>
  <si>
    <t>Целевая субсидия  бюджетным учреждениям на устройство единой диспетчерской службы</t>
  </si>
  <si>
    <t>Ремонт кровли гинекологического отделения</t>
  </si>
  <si>
    <t>Прочие налоги и сборы (по отмененным местным налогам и сборам)</t>
  </si>
  <si>
    <t>1 09 07000 00 0000 110</t>
  </si>
  <si>
    <t>Налог на рекламу</t>
  </si>
  <si>
    <t>1 09 07010 00 0000 110</t>
  </si>
  <si>
    <t>Налог на рекламу, мобилизуемый на территориях городских округов</t>
  </si>
  <si>
    <t>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</si>
  <si>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</si>
  <si>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</si>
  <si>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</si>
  <si>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1 09 07032 04 0000 110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</si>
  <si>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</si>
  <si>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</si>
  <si>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</si>
  <si>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1 09 07052 04 0000 110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</si>
  <si>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</si>
  <si>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</si>
  <si>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</si>
  <si>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1 11 01000 00 0000 120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</si>
  <si>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</si>
  <si>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</si>
  <si>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</si>
  <si>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</si>
  <si>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</si>
  <si>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Бюджетные инвестиции на приобретение основных средств (рояль)</t>
  </si>
  <si>
    <t>Целевая  субсидия на установку площадок для забора воды пожарными машинами на водоемах д. Шишкино, д. Глотаево микрорайона Белые Столбы</t>
  </si>
  <si>
    <t>0707- 795 15 00 - 612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</si>
  <si>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</si>
  <si>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</si>
  <si>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</si>
  <si>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</si>
  <si>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</si>
  <si>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</si>
  <si>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</si>
  <si>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</si>
  <si>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</si>
  <si>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</si>
  <si>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</si>
  <si>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</si>
  <si>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</si>
  <si>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</si>
  <si>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</si>
  <si>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</si>
  <si>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</si>
  <si>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</si>
  <si>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</si>
  <si>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</si>
  <si>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</si>
  <si>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</si>
  <si>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</si>
  <si>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</si>
  <si>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</si>
  <si>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247 00 00</t>
  </si>
  <si>
    <t>795 02 21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</si>
  <si>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</si>
  <si>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</si>
  <si>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</si>
  <si>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</si>
  <si>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</si>
  <si>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</si>
  <si>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</si>
  <si>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</si>
  <si>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</si>
  <si>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</si>
  <si>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</si>
  <si>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</si>
  <si>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</si>
  <si>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</si>
  <si>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</si>
  <si>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</si>
  <si>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</si>
  <si>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</si>
  <si>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</si>
  <si>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</si>
  <si>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</si>
  <si>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</si>
  <si>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</si>
  <si>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</si>
  <si>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</si>
  <si>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</si>
  <si>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</si>
  <si>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</si>
  <si>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</si>
  <si>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</si>
  <si>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</si>
  <si>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</si>
  <si>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</si>
  <si>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</si>
  <si>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</si>
  <si>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</si>
  <si>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</si>
  <si>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</si>
  <si>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</si>
  <si>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</si>
  <si>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</si>
  <si>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</si>
  <si>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</si>
  <si>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</si>
  <si>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1 11 09044 04 0100 120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</si>
  <si>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 в части платы за установку и эксплуатацию рекламной конструкции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</si>
  <si>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</si>
  <si>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</si>
  <si>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 от компенсации затрат бюджетов городских округов</t>
  </si>
  <si>
    <t>Доходы от продажи квартир, находящихся в собственности городских округов</t>
  </si>
  <si>
    <t>1 14 04040 04 0000 420</t>
  </si>
  <si>
    <t>Доходы от продажи нематериальных активов, находящихся в собственности городских округов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</si>
  <si>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</si>
  <si>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</si>
  <si>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</si>
  <si>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</si>
  <si>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</si>
  <si>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</si>
  <si>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Администрация городского округа Домодедово Московской области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</si>
  <si>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</si>
  <si>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2 02 02003 04 0000 151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</si>
  <si>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</si>
  <si>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</si>
  <si>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</si>
  <si>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</si>
  <si>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</si>
  <si>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</si>
  <si>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</si>
  <si>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</si>
  <si>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</si>
  <si>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</si>
  <si>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2 02 02089 04 0002 151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</si>
  <si>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</si>
  <si>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</si>
  <si>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</si>
  <si>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</si>
  <si>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Предоставление субсидий молодым семьям для приобретения жилья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</si>
  <si>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</si>
  <si>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</si>
  <si>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</si>
  <si>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</si>
  <si>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</si>
  <si>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</si>
  <si>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</si>
  <si>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</si>
  <si>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</si>
  <si>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</si>
  <si>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Рз</t>
  </si>
  <si>
    <t>ПР</t>
  </si>
  <si>
    <t>ЦСР</t>
  </si>
  <si>
    <t>ВР</t>
  </si>
  <si>
    <t>01</t>
  </si>
  <si>
    <t>Судебная система</t>
  </si>
  <si>
    <t>Фонд компенсаций</t>
  </si>
  <si>
    <t>471 00 00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</si>
  <si>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</si>
  <si>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</si>
  <si>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Охрана объектов растительного и животного мира и  среды их обитания</t>
  </si>
  <si>
    <t>Телерадиокомпании и телеорганизации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</si>
  <si>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</si>
  <si>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</si>
  <si>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</si>
  <si>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</si>
  <si>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</si>
  <si>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0503 -795 18 00- 243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</si>
  <si>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</si>
  <si>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</si>
  <si>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</si>
  <si>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</si>
  <si>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</si>
  <si>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</si>
  <si>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</si>
  <si>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</si>
  <si>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</si>
  <si>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</si>
  <si>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</si>
  <si>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</si>
  <si>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</si>
  <si>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</si>
  <si>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</si>
  <si>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</si>
  <si>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</si>
  <si>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</si>
  <si>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</si>
  <si>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410 00 00</t>
  </si>
  <si>
    <t>Обеспечение мер социальной поддержки по оплате жилого помещения и коммунальных услуг одиноким пенсионерам*</t>
  </si>
  <si>
    <t>831</t>
  </si>
  <si>
    <t>Закупка, установка и настройка программного обеспечения для функционирования информационно-справочной службы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</si>
  <si>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</si>
  <si>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Целевая субсидия на проектирование и монтаж коммерческого узла учета тепловой энергии на СК "Темп"</t>
  </si>
  <si>
    <t>795 00 00</t>
  </si>
  <si>
    <t>Целевые программы муниципальных образований</t>
  </si>
  <si>
    <t>Уплата налога на имущество организаций и земельного налога</t>
  </si>
  <si>
    <t xml:space="preserve">Целевая субсидия на приобретение оборудования 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</si>
  <si>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</si>
  <si>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</si>
  <si>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</si>
  <si>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</si>
  <si>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</si>
  <si>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2 02 03001 04 0000 151</t>
  </si>
  <si>
    <t>Субвенции бюджетам городских  округов  на  оплату жилищно-коммунальных услуг  отдельным  категориям граждан</t>
  </si>
  <si>
    <t>Субвенции  бюджетам  городских  округов на составление  (изменение)   списков кандидатов  в  присяжные  заседатели  федеральных судов общей юрисдикции в Российской Федерации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</si>
  <si>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</si>
  <si>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Субвенции   бюджетам   городских    округов    на  выполнение  передаваемых   полномочий   субъектов Российской Федерации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</si>
  <si>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</si>
  <si>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</si>
  <si>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</si>
  <si>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Субвенции бюджетам городских округов на обеспечение жильем граждан, уволенных с военной службы (службы) и приравненных к ним лиц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</si>
  <si>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</si>
  <si>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городских округов </t>
  </si>
  <si>
    <t>2 07 04010 04 0000 180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</si>
  <si>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</si>
  <si>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2 07 04020 04 0100 180</t>
  </si>
  <si>
    <t>Поступления от денежных пожертвований, предоставляемых физическими лицами получателям средств бюджета городского округа на благоустройство городского округа Домодедово</t>
  </si>
  <si>
    <t>2 07 04020 04 0200 180</t>
  </si>
  <si>
    <t>Поступления от денежных пожертвований, предоставляемых физическими лицами получателям средств бюджета городского округа на оказание помощи малообеспеченным гражданам и гражданам попавшим в трудную жизненную ситуацию</t>
  </si>
  <si>
    <t>2 07 04020 04 0300 180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</si>
  <si>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</si>
  <si>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2 07 04020 04 0400 180</t>
  </si>
  <si>
    <t>2 07 04020 04 0401 180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</si>
  <si>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Барыбино</t>
  </si>
  <si>
    <t>2 07 04020 04 0402 180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</si>
  <si>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Белые Столбы</t>
  </si>
  <si>
    <t>2 07 04020 04 0403 180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</si>
  <si>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Востряково</t>
  </si>
  <si>
    <t>2 07 04020 04 0404 180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</si>
  <si>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Авиационный</t>
  </si>
  <si>
    <t>2 07 04020 04 0405 180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</si>
  <si>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Повадинского округа</t>
  </si>
  <si>
    <t>2 07 04020 04 0406 180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</si>
  <si>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Колычевского округа</t>
  </si>
  <si>
    <t>2 07 04020 04 0407 180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</si>
  <si>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Никитского округа</t>
  </si>
  <si>
    <t>2 07 04020 04 0408 180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</si>
  <si>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Краснопутьского округа</t>
  </si>
  <si>
    <t>2 07 04020 04 0409 180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</si>
  <si>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Лобановского округа</t>
  </si>
  <si>
    <t>2 07 04020 04 0411 180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</si>
  <si>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Растуновского округа</t>
  </si>
  <si>
    <t>2 07 04020 04 0413 180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</si>
  <si>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Ямского округа</t>
  </si>
  <si>
    <t>2 07 04020 04 0423 180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</si>
  <si>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Западный</t>
  </si>
  <si>
    <t>2 07 04020 04 0439 180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</si>
  <si>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Центральный</t>
  </si>
  <si>
    <t>2 07 04020 04 0444 180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</si>
  <si>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Северный</t>
  </si>
  <si>
    <t>2 07 04020 04 0500 180</t>
  </si>
  <si>
    <t>Поступления от денежных пожертвований, предоставляемых физическими лицами получателям средств бюджета городского округа на природоохранные мероприятия (в т.ч. на организацию развития системы экологического образования, воспитания и просвещения населения)</t>
  </si>
  <si>
    <t>2 07 04020 04 0600 180</t>
  </si>
  <si>
    <t>Поступления от денежных пожертвований, предоставляемых физическими лицами получателям средств бюджета городского округа на строительство, реконструкцию и капитальный ремонт объектов ЖКХ и социально-культурной сферы</t>
  </si>
  <si>
    <t>2 07 04020 04 0700 180</t>
  </si>
  <si>
    <t>Поступления от денежных пожертвований, предоставляемых физическими лицами получателям средств бюджета городского округа на муниципальное жилищное строительство</t>
  </si>
  <si>
    <t>2 07 04050 04 0100 180</t>
  </si>
  <si>
    <t>Прочие безвозмездные поступления в бюджет городского округа на благоустройство городского округа Домодедово</t>
  </si>
  <si>
    <t>2 07 04050 04 0200 180</t>
  </si>
  <si>
    <t>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</t>
  </si>
  <si>
    <t>2 07 04050 04 0300 180</t>
  </si>
  <si>
    <t>2 07 04050 04 0400 180</t>
  </si>
  <si>
    <t>2 07 04050 04 0401 180</t>
  </si>
  <si>
    <t>Прочие безвозмездные поступления в бюджет городского округа на развитие территории микрорайона Барыбино</t>
  </si>
  <si>
    <t>2 07 04050 04 0402 180</t>
  </si>
  <si>
    <t>Прочие безвозмездные поступления в бюджет городского округа на развитие территории микрорайона Белые Столбы</t>
  </si>
  <si>
    <t>2 07 04050 04 0403 180</t>
  </si>
  <si>
    <t>Прочие безвозмездные поступления в бюджет городского округа на развитие территории микрорайона Востряково</t>
  </si>
  <si>
    <t>2 07 04050 04 0404 180</t>
  </si>
  <si>
    <t>Прочие безвозмездные поступления в бюджет городского округа на развитие территории микрорайона Авиационный</t>
  </si>
  <si>
    <t>2 07 04050 04 0405 180</t>
  </si>
  <si>
    <t>Прочие безвозмездные поступления в бюджет городского округа на развитие территории Повадинского округа</t>
  </si>
  <si>
    <t>2 07 04050 04 0406 180</t>
  </si>
  <si>
    <t>Прочие безвозмездные поступления в бюджет городского округа на развитие территории Колычевского округа</t>
  </si>
  <si>
    <t>2 07 04050 04 0407 180</t>
  </si>
  <si>
    <t>Прочие безвозмездные поступления в бюджет городского округа на развитие территории Никитского округа</t>
  </si>
  <si>
    <t>2 07 04050 04 0408 180</t>
  </si>
  <si>
    <t>Прочие безвозмездные поступления в бюджет городского округа на развитие территории Краснопутьского округа</t>
  </si>
  <si>
    <t>2 07 04050 04 0409 180</t>
  </si>
  <si>
    <t>Прочие безвозмездные поступления в бюджет городского округа на развитие территории Лобановского округа</t>
  </si>
  <si>
    <t>2 07 04050 04 0411 180</t>
  </si>
  <si>
    <t>Прочие безвозмездные поступления в бюджет городского округа на развитие территории Растуновского округа</t>
  </si>
  <si>
    <t>2 07 04050 04 0413 180</t>
  </si>
  <si>
    <t>Прочие безвозмездные поступления в бюджет городского округа на развитие территории Ямского округа</t>
  </si>
  <si>
    <t>2 07 04050 04 0423 180</t>
  </si>
  <si>
    <t>Прочие безвозмездные поступления в бюджет городского округа на развитие территории микрорайона Западный</t>
  </si>
  <si>
    <t>2 07 04050 04 0439 180</t>
  </si>
  <si>
    <t>Прочие безвозмездные поступления в бюджет городского округа на развитие территории микрорайона Центральный</t>
  </si>
  <si>
    <t>2 07 04050 04 0444 180</t>
  </si>
  <si>
    <t>Прочие безвозмездные поступления в бюджет городского округа на развитие территории микрорайона Северный</t>
  </si>
  <si>
    <t>2 07 04050 04 0500 180</t>
  </si>
  <si>
    <t>Прочие безвозмездные поступления в бюджет городского округа на природоохранные мероприятия (в т.ч. на организацию развития системы экологического образования, воспитания и просвещения населения)</t>
  </si>
  <si>
    <t>2 07 04050 04 0600 180</t>
  </si>
  <si>
    <t>Прочие безвозмездные поступления в бюджет городского округа на строительство, реконструкцию и капитальный ремонт объектов ЖКХ и социально-культурной сферы</t>
  </si>
  <si>
    <t>2 07 04050 04 0700 180</t>
  </si>
  <si>
    <t>Прочие безвозмездные поступления в бюджет городского округа на муниципальное жилищное строительство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</si>
  <si>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</si>
  <si>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Управление образования Администрации городского округа Домодедово Московской области</t>
  </si>
  <si>
    <t>114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</si>
  <si>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</si>
  <si>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2 02 02074 04 0000 151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</si>
  <si>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</si>
  <si>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</si>
  <si>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</si>
  <si>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</si>
  <si>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</si>
  <si>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</si>
  <si>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</si>
  <si>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</si>
  <si>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</si>
  <si>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2 02 03014 04 0000 151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</si>
  <si>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</si>
  <si>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</si>
  <si>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</si>
  <si>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</si>
  <si>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</si>
  <si>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2 02 03033 04 0000 151</t>
  </si>
  <si>
    <t>Субвенции бюджетам городских округов на оздоровление детей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</si>
  <si>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</si>
  <si>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</si>
  <si>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Управление здравоохранения Администрации городского округа Домодедово Московской области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</si>
  <si>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</si>
  <si>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2 02 04034 04 0002 151</t>
  </si>
  <si>
    <t>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здравоохранения в целях перехода на полисы обязательного медицинского страхования единого образца</t>
  </si>
  <si>
    <t>Комитет по культуре, делам молодежи и спорту Администрации городского округа Домодедово Московской области</t>
  </si>
  <si>
    <t>Муниципальное казенное учреждение городского округа Домодедово "Управление нежилых помещений"</t>
  </si>
  <si>
    <t>130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</si>
  <si>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</si>
  <si>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</si>
  <si>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</si>
  <si>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</si>
  <si>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</si>
  <si>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</si>
  <si>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</si>
  <si>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</si>
  <si>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</si>
  <si>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</si>
  <si>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 организациями городских округов за выполнение определенных функций</t>
  </si>
  <si>
    <t>Денежные взыскания (штрафы) за нарушение бюджетного законодательства 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</si>
  <si>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</si>
  <si>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</si>
  <si>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</si>
  <si>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</si>
  <si>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</si>
  <si>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</si>
  <si>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2 01 04099 04 0000 180</t>
  </si>
  <si>
    <t>Прочие безвозмездные поступления от нерезидентов в бюджеты городских округов</t>
  </si>
  <si>
    <t>2 02 02041 04 0000 151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</si>
  <si>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</si>
  <si>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</si>
  <si>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</si>
  <si>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</si>
  <si>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2 02 02081 04 0000 151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</si>
  <si>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</si>
  <si>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2 02 02088 04 0004 151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</si>
  <si>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</si>
  <si>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</si>
  <si>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</si>
  <si>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>2 02 02150 04 0000 151</t>
  </si>
  <si>
    <t>Субсидии бюджетам городских округов на реализацию программы энергосбережения и повышения энергетический эффективности на период до 2020 года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</si>
  <si>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</si>
  <si>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</si>
  <si>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</si>
  <si>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</si>
  <si>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    Приложение № 5   </t>
  </si>
  <si>
    <t>Приложение № 4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</si>
  <si>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</si>
  <si>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</si>
  <si>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</si>
  <si>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</si>
  <si>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r>
      <t>Денежные взыскания (штрафы) за нарушение законодательства о налогах и сборах, предусмотренные статьями 116, 118, пунктом 2 ст.119, статьей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статьями 129</t>
    </r>
    <r>
      <rPr>
        <vertAlign val="superscript"/>
        <sz val="9"/>
        <rFont val="Times New Roman Cyr"/>
        <family val="0"/>
      </rPr>
      <t>4,</t>
    </r>
    <r>
      <rPr>
        <sz val="9"/>
        <rFont val="Times New Roman Cyr"/>
        <family val="1"/>
      </rPr>
      <t xml:space="preserve">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135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1"/>
      </rPr>
      <t xml:space="preserve"> Налогового кодекса РФ, а также штрафы, взыскание которых осуществляется на основании ранее действовавшей статьи 117 НК РФ</t>
    </r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</si>
  <si>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</si>
  <si>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</si>
  <si>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</si>
  <si>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</si>
  <si>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</si>
  <si>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</si>
  <si>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</si>
  <si>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бюджетного законодательства РФ</t>
  </si>
  <si>
    <t>1 16 18000 00 0000 140</t>
  </si>
  <si>
    <t>Денежные взыскания (штрафы) за нарушение бюджетного законодательства  (в части  бюджетов городских округов)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</si>
  <si>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</si>
  <si>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</si>
  <si>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РФ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</si>
  <si>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</si>
  <si>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</si>
  <si>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</si>
  <si>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об экологической экспертизе</t>
  </si>
  <si>
    <t>1 16 25040 01 0000 140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</si>
  <si>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</si>
  <si>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</si>
  <si>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</si>
  <si>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</si>
  <si>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водного законодательства</t>
  </si>
  <si>
    <t>1 16 25080 01 0000 140</t>
  </si>
  <si>
    <t>Денежные взыскания (штрафы) за нарушение ФЗ "О пожарной безопасности"</t>
  </si>
  <si>
    <t>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</si>
  <si>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</si>
  <si>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</si>
  <si>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</si>
  <si>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</si>
  <si>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</si>
  <si>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</si>
  <si>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</si>
  <si>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</si>
  <si>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</si>
  <si>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</si>
  <si>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</si>
  <si>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</si>
  <si>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</si>
  <si>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</si>
  <si>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</si>
  <si>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ПРОЧИЕ НЕНАЛОГОВЫЕ ДОХОДЫ</t>
  </si>
  <si>
    <t>1 17 00000 00 0000 000</t>
  </si>
  <si>
    <t>Невыясненные поступления</t>
  </si>
  <si>
    <t>1 17 01000 00 0000 180</t>
  </si>
  <si>
    <t>470 00 00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</si>
  <si>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</si>
  <si>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</si>
  <si>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</si>
  <si>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</si>
  <si>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</si>
  <si>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</si>
  <si>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</si>
  <si>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</si>
  <si>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</si>
  <si>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</si>
  <si>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</si>
  <si>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</si>
  <si>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</si>
  <si>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</si>
  <si>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</si>
  <si>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</si>
  <si>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Бюджетные инвестиции (Строительство муниципальных многоквартирных жилых домов)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</si>
  <si>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</si>
  <si>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</si>
  <si>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0410- 795 16 00 -810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</si>
  <si>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</si>
  <si>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</si>
  <si>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</si>
  <si>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</si>
  <si>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</si>
  <si>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</si>
  <si>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</si>
  <si>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</si>
  <si>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</si>
  <si>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</si>
  <si>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</si>
  <si>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</si>
  <si>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</si>
  <si>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</si>
  <si>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</si>
  <si>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1 14 02040 04 0000 410</t>
  </si>
  <si>
    <t>Доходы 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</si>
  <si>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</si>
  <si>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</si>
  <si>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1 14 06000 00 0000 430</t>
  </si>
  <si>
    <t xml:space="preserve">Целевая субсидия на оформление земельных участков МБУ "ЦФКС "Горизонт" </t>
  </si>
  <si>
    <t xml:space="preserve">Целевая субсидия на устройство футбольного поля с натуральным газоном для МБУ "ЦФКС "Горизонт" </t>
  </si>
  <si>
    <t>Целевая субсидия на замену входной двери, замена (демонтаж старых и монтаж новых) оконных блоков в МБУК "ЦБС"</t>
  </si>
  <si>
    <t>Целевая субсидия на приобретение мебели, инвентаря и оборудования для общеобразовательных учреждений</t>
  </si>
  <si>
    <t>Топографическая съемка участка под устройство ливневой канализации</t>
  </si>
  <si>
    <t>Капитальный ремонт, обследование, разработка ПСД, установка узлов учета, огнезащитная обработка и противопожарные мероприятия, замена окон,устройство кнопок экстренного вызова, реконструкция резервного электроснабжения в  помещениях учреждений здравоохранения</t>
  </si>
  <si>
    <t>Капитальный ремонт, ремонт кровли, обследование, разработка ПСД, установка узлов учета, приобретение оборудования,противопожарные мероприятия, замена окон, приобретение медицинской и бытовой мебели, установка металических ограждений, установка физиотерапевтических кабин, ремонт системы кондиционирования, благоустройство территорий, электроснабжение в  помещениях учреждений здравоохранения</t>
  </si>
  <si>
    <t>Ремонт помещений учреждений здравоохранения</t>
  </si>
  <si>
    <t xml:space="preserve">Целевая субсидия на приобретение материалов и оборудования, программного обеспечения </t>
  </si>
  <si>
    <t>Субвенции бюджетам городских округов на выполнение передаваемых полномочий субъектов РФ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</si>
  <si>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</si>
  <si>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</si>
  <si>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012</t>
  </si>
  <si>
    <t>471 99 01</t>
  </si>
  <si>
    <t>470 99 01</t>
  </si>
  <si>
    <t xml:space="preserve">Прочие расходы </t>
  </si>
  <si>
    <t>423 00 00</t>
  </si>
  <si>
    <t>424 00 00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</si>
  <si>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</si>
  <si>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</si>
  <si>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</si>
  <si>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</si>
  <si>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</si>
  <si>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</si>
  <si>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</si>
  <si>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</si>
  <si>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</si>
  <si>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</si>
  <si>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</si>
  <si>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</si>
  <si>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</si>
  <si>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</si>
  <si>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</si>
  <si>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</si>
  <si>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</si>
  <si>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</si>
  <si>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</si>
  <si>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</si>
  <si>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</si>
  <si>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</si>
  <si>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</si>
  <si>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</si>
  <si>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</si>
  <si>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</si>
  <si>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</si>
  <si>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</si>
  <si>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Выплата единовременной материальной помощи участникам Курской битвы (включая вдов)*</t>
  </si>
  <si>
    <t>505 86 09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</si>
  <si>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</si>
  <si>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</si>
  <si>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</si>
  <si>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</si>
  <si>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</si>
  <si>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</si>
  <si>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</si>
  <si>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</si>
  <si>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</si>
  <si>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Целевая субсидия на приобретение аппаратуры для МБУ "МКЦ "Победа"</t>
  </si>
  <si>
    <t xml:space="preserve">Погашение задолженности по  налогу на имущество за 2011 год </t>
  </si>
  <si>
    <t>092 00 00</t>
  </si>
  <si>
    <t>Целевая  субсидия на приобретение экскаватора - погрузчика</t>
  </si>
  <si>
    <t xml:space="preserve">Целевые субсидии  бюджетным учреждениям, </t>
  </si>
  <si>
    <t xml:space="preserve">Целевые субсидии бюджетным учреждениям 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</si>
  <si>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</si>
  <si>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</si>
  <si>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</si>
  <si>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</si>
  <si>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</si>
  <si>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</si>
  <si>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</si>
  <si>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</si>
  <si>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</si>
  <si>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</si>
  <si>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</si>
  <si>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</si>
  <si>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</si>
  <si>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</si>
  <si>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</si>
  <si>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</si>
  <si>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</si>
  <si>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Программа "Развитие образования в городском округе Домодедово на 2011-2013 годы" (в школе-интернате)</t>
  </si>
  <si>
    <t>Комитет по управлению имуществом Администрации городского округа Домодедово Московской области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</si>
  <si>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</si>
  <si>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Поступления от денежных пожертвований, предоставляемых физическими лицами получателям средств бюджета городского округа на социально-экономическое развитие городского округа</t>
  </si>
  <si>
    <t>Прочие безвозмездные поступления на социально-экономическое развитие городского округа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</si>
  <si>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</si>
  <si>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Содержание и управление дорожным хозяйством</t>
  </si>
  <si>
    <t>315 01 00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</si>
  <si>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</si>
  <si>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</si>
  <si>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</si>
  <si>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</si>
  <si>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</si>
  <si>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</si>
  <si>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</si>
  <si>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</si>
  <si>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2 02 03070 00 0000 151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</si>
  <si>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</si>
  <si>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граждан, уволенных с военной службы (службы), и приравненных к ним лиц</t>
  </si>
  <si>
    <t>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</si>
  <si>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</si>
  <si>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Субвенции бюджетам на модернизацию региональных систем общего образования</t>
  </si>
  <si>
    <t>2 02 03078 00 0000 151</t>
  </si>
  <si>
    <t>Прочие субвенции</t>
  </si>
  <si>
    <t>2 02 03999 00 0000 151</t>
  </si>
  <si>
    <t>2 02 04000 00 0000 151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</si>
  <si>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</si>
  <si>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</si>
  <si>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</si>
  <si>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</si>
  <si>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</si>
  <si>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</si>
  <si>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</si>
  <si>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</si>
  <si>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Прочие межбюджетные трансферты, передаваемые бюджетам</t>
  </si>
  <si>
    <t>2 02 04999 00 0000 151</t>
  </si>
  <si>
    <t xml:space="preserve">от  11.11.2013  №1-4/543   </t>
  </si>
  <si>
    <t xml:space="preserve">от 11.11.2013  №1-4/543    </t>
  </si>
  <si>
    <t xml:space="preserve">от  11.11.2013  № 1-4/543 </t>
  </si>
  <si>
    <t xml:space="preserve">от  11.11.2013  № 1-4/543   </t>
  </si>
  <si>
    <t xml:space="preserve">                  от  11.11.2013   № 1-4/543 </t>
  </si>
  <si>
    <t xml:space="preserve">                                        от   11.11.2013   №  1-4/543  </t>
  </si>
  <si>
    <t xml:space="preserve">                                                                                             от  11.11.2013  № 1-4/543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</si>
</sst>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  <numFmt numFmtId="184" formatCode="#,##0.000000"/>
    <numFmt numFmtId="185" formatCode="_-* #,##0.0_р_._-;\-* #,##0.0_р_._-;_-* &quot;-&quot;?_р_.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9"/>
      <color indexed="10"/>
      <name val="Times New Roman Cyr"/>
      <family val="1"/>
    </font>
    <font>
      <vertAlign val="superscript"/>
      <sz val="9"/>
      <name val="Times New Roman Cyr"/>
      <family val="0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9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3" fontId="3" fillId="0" borderId="0" xfId="53" applyNumberFormat="1" applyFont="1" applyFill="1" applyAlignment="1" applyProtection="1">
      <alignment horizontal="center"/>
      <protection hidden="1"/>
    </xf>
    <xf numFmtId="49" fontId="9" fillId="0" borderId="0" xfId="53" applyNumberFormat="1" applyFont="1" applyFill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top"/>
      <protection hidden="1"/>
    </xf>
    <xf numFmtId="0" fontId="0" fillId="0" borderId="0" xfId="53" applyFont="1" applyFill="1" applyProtection="1">
      <alignment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0" xfId="53" applyNumberFormat="1" applyFont="1" applyFill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 applyProtection="1">
      <alignment horizontal="left" vertical="center" wrapText="1"/>
      <protection hidden="1"/>
    </xf>
    <xf numFmtId="49" fontId="8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6" fillId="0" borderId="10" xfId="53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3" fontId="6" fillId="0" borderId="11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Protection="1">
      <alignment/>
      <protection hidden="1"/>
    </xf>
    <xf numFmtId="0" fontId="6" fillId="0" borderId="12" xfId="53" applyFont="1" applyFill="1" applyBorder="1" applyAlignment="1" applyProtection="1">
      <alignment horizontal="right" vertical="center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Font="1" applyFill="1" applyBorder="1" applyAlignment="1" applyProtection="1">
      <alignment horizontal="left" vertical="center" wrapText="1"/>
      <protection hidden="1"/>
    </xf>
    <xf numFmtId="49" fontId="5" fillId="33" borderId="14" xfId="53" applyNumberFormat="1" applyFont="1" applyFill="1" applyBorder="1" applyAlignment="1" applyProtection="1">
      <alignment horizontal="center" vertical="center"/>
      <protection hidden="1"/>
    </xf>
    <xf numFmtId="164" fontId="4" fillId="33" borderId="14" xfId="53" applyNumberFormat="1" applyFont="1" applyFill="1" applyBorder="1" applyAlignment="1" applyProtection="1">
      <alignment horizontal="right" vertical="center"/>
      <protection hidden="1"/>
    </xf>
    <xf numFmtId="49" fontId="8" fillId="34" borderId="10" xfId="53" applyNumberFormat="1" applyFont="1" applyFill="1" applyBorder="1" applyAlignment="1" applyProtection="1">
      <alignment horizontal="center" wrapText="1"/>
      <protection hidden="1"/>
    </xf>
    <xf numFmtId="164" fontId="4" fillId="34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0" fontId="4" fillId="34" borderId="10" xfId="53" applyFont="1" applyFill="1" applyBorder="1" applyProtection="1">
      <alignment/>
      <protection hidden="1"/>
    </xf>
    <xf numFmtId="164" fontId="4" fillId="34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164" fontId="3" fillId="0" borderId="10" xfId="53" applyNumberFormat="1" applyFont="1" applyFill="1" applyBorder="1" applyProtection="1">
      <alignment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164" fontId="17" fillId="0" borderId="0" xfId="53" applyNumberFormat="1" applyFont="1" applyFill="1" applyProtection="1">
      <alignment/>
      <protection hidden="1"/>
    </xf>
    <xf numFmtId="166" fontId="17" fillId="0" borderId="0" xfId="53" applyNumberFormat="1" applyFont="1" applyFill="1" applyProtection="1">
      <alignment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19" fillId="0" borderId="0" xfId="53" applyFont="1" applyFill="1" applyProtection="1">
      <alignment/>
      <protection hidden="1"/>
    </xf>
    <xf numFmtId="164" fontId="3" fillId="35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Protection="1">
      <alignment/>
      <protection hidden="1"/>
    </xf>
    <xf numFmtId="0" fontId="9" fillId="0" borderId="15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0" fillId="36" borderId="0" xfId="53" applyFont="1" applyFill="1" applyProtection="1">
      <alignment/>
      <protection hidden="1"/>
    </xf>
    <xf numFmtId="3" fontId="0" fillId="36" borderId="0" xfId="53" applyNumberFormat="1" applyFont="1" applyFill="1" applyProtection="1">
      <alignment/>
      <protection hidden="1"/>
    </xf>
    <xf numFmtId="164" fontId="3" fillId="0" borderId="0" xfId="53" applyNumberFormat="1" applyFont="1" applyFill="1" applyProtection="1">
      <alignment/>
      <protection hidden="1"/>
    </xf>
    <xf numFmtId="164" fontId="3" fillId="36" borderId="0" xfId="53" applyNumberFormat="1" applyFont="1" applyFill="1" applyProtection="1">
      <alignment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164" fontId="26" fillId="0" borderId="10" xfId="53" applyNumberFormat="1" applyFont="1" applyFill="1" applyBorder="1" applyAlignment="1" applyProtection="1">
      <alignment horizontal="right"/>
      <protection hidden="1"/>
    </xf>
    <xf numFmtId="0" fontId="27" fillId="36" borderId="0" xfId="53" applyFont="1" applyFill="1" applyProtection="1">
      <alignment/>
      <protection hidden="1"/>
    </xf>
    <xf numFmtId="3" fontId="27" fillId="36" borderId="0" xfId="53" applyNumberFormat="1" applyFont="1" applyFill="1" applyProtection="1">
      <alignment/>
      <protection hidden="1"/>
    </xf>
    <xf numFmtId="0" fontId="19" fillId="36" borderId="0" xfId="53" applyFont="1" applyFill="1" applyProtection="1">
      <alignment/>
      <protection hidden="1"/>
    </xf>
    <xf numFmtId="3" fontId="19" fillId="36" borderId="0" xfId="53" applyNumberFormat="1" applyFont="1" applyFill="1" applyProtection="1">
      <alignment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6" fillId="0" borderId="10" xfId="53" applyFont="1" applyFill="1" applyBorder="1" applyAlignment="1" applyProtection="1">
      <alignment wrapText="1"/>
      <protection hidden="1"/>
    </xf>
    <xf numFmtId="0" fontId="29" fillId="0" borderId="10" xfId="53" applyFont="1" applyFill="1" applyBorder="1" applyAlignment="1" applyProtection="1">
      <alignment horizontal="left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 wrapText="1"/>
      <protection hidden="1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164" fontId="3" fillId="0" borderId="0" xfId="53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164" fontId="3" fillId="0" borderId="0" xfId="53" applyNumberFormat="1" applyFont="1" applyFill="1" applyAlignment="1" applyProtection="1">
      <alignment horizontal="center" vertical="center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Font="1" applyFill="1" applyBorder="1" applyAlignment="1" applyProtection="1">
      <alignment horizontal="center" vertical="center" wrapText="1"/>
      <protection hidden="1"/>
    </xf>
    <xf numFmtId="0" fontId="7" fillId="0" borderId="17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164" fontId="26" fillId="36" borderId="0" xfId="53" applyNumberFormat="1" applyFont="1" applyFill="1" applyProtection="1">
      <alignment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3" fillId="0" borderId="0" xfId="53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4" fontId="3" fillId="36" borderId="0" xfId="53" applyNumberFormat="1" applyFont="1" applyFill="1" applyProtection="1">
      <alignment/>
      <protection hidden="1"/>
    </xf>
    <xf numFmtId="49" fontId="30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justify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wrapText="1"/>
    </xf>
    <xf numFmtId="49" fontId="0" fillId="0" borderId="15" xfId="0" applyNumberForma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10" xfId="53" applyFont="1" applyFill="1" applyBorder="1" applyAlignment="1" applyProtection="1">
      <alignment vertical="center"/>
      <protection hidden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0" xfId="53" applyFont="1" applyFill="1" applyBorder="1" applyProtection="1">
      <alignment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/>
    </xf>
    <xf numFmtId="49" fontId="10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49" fontId="8" fillId="0" borderId="22" xfId="53" applyNumberFormat="1" applyFont="1" applyFill="1" applyBorder="1" applyAlignment="1" applyProtection="1">
      <alignment horizontal="center" vertical="center"/>
      <protection hidden="1"/>
    </xf>
    <xf numFmtId="164" fontId="13" fillId="0" borderId="22" xfId="53" applyNumberFormat="1" applyFont="1" applyFill="1" applyBorder="1" applyAlignment="1" applyProtection="1">
      <alignment horizontal="right" vertical="center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8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164" fontId="3" fillId="0" borderId="10" xfId="53" applyNumberFormat="1" applyFont="1" applyFill="1" applyBorder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 applyProtection="1">
      <alignment wrapText="1"/>
      <protection hidden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6" fillId="36" borderId="0" xfId="53" applyFont="1" applyFill="1" applyProtection="1">
      <alignment/>
      <protection hidden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6" fillId="35" borderId="10" xfId="53" applyNumberFormat="1" applyFont="1" applyFill="1" applyBorder="1" applyAlignment="1" applyProtection="1">
      <alignment horizontal="center" wrapText="1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23" xfId="0" applyNumberFormat="1" applyFont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20" xfId="53" applyFont="1" applyFill="1" applyBorder="1" applyAlignment="1" applyProtection="1">
      <alignment horizontal="left" wrapText="1"/>
      <protection hidden="1"/>
    </xf>
    <xf numFmtId="49" fontId="6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/>
      <protection hidden="1"/>
    </xf>
    <xf numFmtId="0" fontId="3" fillId="36" borderId="0" xfId="53" applyFont="1" applyFill="1" applyAlignment="1" applyProtection="1">
      <alignment vertical="center"/>
      <protection hidden="1"/>
    </xf>
    <xf numFmtId="0" fontId="6" fillId="37" borderId="10" xfId="53" applyFont="1" applyFill="1" applyBorder="1" applyAlignment="1" applyProtection="1">
      <alignment horizontal="left" vertical="center" wrapText="1"/>
      <protection hidden="1"/>
    </xf>
    <xf numFmtId="4" fontId="12" fillId="0" borderId="10" xfId="53" applyNumberFormat="1" applyFont="1" applyFill="1" applyBorder="1" applyAlignment="1" applyProtection="1">
      <alignment horizontal="right"/>
      <protection hidden="1"/>
    </xf>
    <xf numFmtId="164" fontId="12" fillId="35" borderId="10" xfId="53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>
      <alignment vertical="center" wrapText="1"/>
    </xf>
    <xf numFmtId="49" fontId="6" fillId="0" borderId="23" xfId="53" applyNumberFormat="1" applyFont="1" applyFill="1" applyBorder="1" applyAlignment="1" applyProtection="1">
      <alignment horizontal="center" wrapText="1"/>
      <protection hidden="1"/>
    </xf>
    <xf numFmtId="0" fontId="6" fillId="0" borderId="22" xfId="53" applyFont="1" applyFill="1" applyBorder="1" applyAlignment="1" applyProtection="1">
      <alignment horizontal="left" vertical="center" wrapText="1"/>
      <protection hidden="1"/>
    </xf>
    <xf numFmtId="0" fontId="6" fillId="0" borderId="24" xfId="53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Border="1" applyAlignment="1">
      <alignment horizontal="justify" vertical="top" wrapText="1"/>
    </xf>
    <xf numFmtId="49" fontId="6" fillId="34" borderId="23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6" fillId="0" borderId="25" xfId="53" applyFont="1" applyFill="1" applyBorder="1" applyAlignment="1" applyProtection="1">
      <alignment horizontal="center" vertical="center" wrapText="1"/>
      <protection hidden="1"/>
    </xf>
    <xf numFmtId="0" fontId="5" fillId="34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0" xfId="53" applyFont="1" applyFill="1" applyBorder="1" applyAlignment="1" applyProtection="1">
      <alignment vertical="center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5" fillId="34" borderId="10" xfId="53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vertical="center" wrapText="1"/>
      <protection hidden="1"/>
    </xf>
    <xf numFmtId="164" fontId="3" fillId="0" borderId="10" xfId="53" applyNumberFormat="1" applyFont="1" applyFill="1" applyBorder="1" applyAlignment="1" applyProtection="1">
      <alignment horizontal="right" wrapText="1"/>
      <protection hidden="1"/>
    </xf>
    <xf numFmtId="175" fontId="3" fillId="36" borderId="0" xfId="61" applyNumberFormat="1" applyFont="1" applyFill="1" applyAlignment="1" applyProtection="1">
      <alignment/>
      <protection hidden="1"/>
    </xf>
    <xf numFmtId="49" fontId="6" fillId="38" borderId="10" xfId="53" applyNumberFormat="1" applyFont="1" applyFill="1" applyBorder="1" applyAlignment="1" applyProtection="1">
      <alignment horizontal="center" wrapText="1"/>
      <protection hidden="1"/>
    </xf>
    <xf numFmtId="0" fontId="9" fillId="0" borderId="15" xfId="53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wrapText="1"/>
      <protection hidden="1"/>
    </xf>
    <xf numFmtId="49" fontId="8" fillId="0" borderId="14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right"/>
      <protection hidden="1"/>
    </xf>
    <xf numFmtId="164" fontId="3" fillId="0" borderId="10" xfId="0" applyNumberFormat="1" applyFont="1" applyFill="1" applyBorder="1" applyAlignment="1" applyProtection="1">
      <alignment horizontal="right"/>
      <protection hidden="1"/>
    </xf>
    <xf numFmtId="0" fontId="6" fillId="35" borderId="10" xfId="0" applyFont="1" applyFill="1" applyBorder="1" applyAlignment="1" applyProtection="1">
      <alignment vertical="center" wrapText="1"/>
      <protection hidden="1"/>
    </xf>
    <xf numFmtId="49" fontId="18" fillId="0" borderId="10" xfId="0" applyNumberFormat="1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wrapText="1"/>
      <protection hidden="1"/>
    </xf>
    <xf numFmtId="0" fontId="6" fillId="0" borderId="10" xfId="0" applyNumberFormat="1" applyFont="1" applyBorder="1" applyAlignment="1" applyProtection="1">
      <alignment vertical="top" wrapText="1"/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right"/>
      <protection hidden="1"/>
    </xf>
    <xf numFmtId="164" fontId="3" fillId="35" borderId="10" xfId="0" applyNumberFormat="1" applyFont="1" applyFill="1" applyBorder="1" applyAlignment="1" applyProtection="1">
      <alignment horizontal="right"/>
      <protection hidden="1"/>
    </xf>
    <xf numFmtId="49" fontId="18" fillId="35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9" fillId="0" borderId="0" xfId="53" applyNumberFormat="1" applyFont="1" applyFill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0" fillId="0" borderId="0" xfId="0" applyNumberFormat="1" applyFill="1" applyAlignment="1" applyProtection="1">
      <alignment/>
      <protection hidden="1"/>
    </xf>
    <xf numFmtId="174" fontId="9" fillId="0" borderId="0" xfId="53" applyNumberFormat="1" applyFont="1" applyFill="1" applyBorder="1" applyAlignment="1" applyProtection="1">
      <alignment/>
      <protection hidden="1"/>
    </xf>
    <xf numFmtId="174" fontId="10" fillId="0" borderId="0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174" fontId="9" fillId="0" borderId="15" xfId="53" applyNumberFormat="1" applyFont="1" applyFill="1" applyBorder="1" applyAlignment="1" applyProtection="1">
      <alignment horizontal="center" vertical="center"/>
      <protection hidden="1"/>
    </xf>
    <xf numFmtId="164" fontId="4" fillId="0" borderId="26" xfId="53" applyNumberFormat="1" applyFont="1" applyFill="1" applyBorder="1" applyAlignment="1" applyProtection="1">
      <alignment horizontal="right" vertical="center"/>
      <protection hidden="1"/>
    </xf>
    <xf numFmtId="164" fontId="32" fillId="0" borderId="0" xfId="0" applyNumberFormat="1" applyFont="1" applyAlignment="1" applyProtection="1">
      <alignment/>
      <protection hidden="1"/>
    </xf>
    <xf numFmtId="164" fontId="4" fillId="0" borderId="27" xfId="53" applyNumberFormat="1" applyFont="1" applyFill="1" applyBorder="1" applyAlignment="1" applyProtection="1">
      <alignment horizontal="right" vertical="center"/>
      <protection hidden="1"/>
    </xf>
    <xf numFmtId="164" fontId="13" fillId="0" borderId="28" xfId="53" applyNumberFormat="1" applyFont="1" applyFill="1" applyBorder="1" applyAlignment="1" applyProtection="1">
      <alignment horizontal="right" vertical="center"/>
      <protection hidden="1"/>
    </xf>
    <xf numFmtId="0" fontId="22" fillId="0" borderId="29" xfId="0" applyFont="1" applyBorder="1" applyAlignment="1" applyProtection="1">
      <alignment horizontal="center" vertical="top" wrapText="1"/>
      <protection hidden="1"/>
    </xf>
    <xf numFmtId="0" fontId="33" fillId="0" borderId="10" xfId="0" applyFont="1" applyBorder="1" applyAlignment="1" applyProtection="1">
      <alignment horizontal="justify" vertical="top" wrapText="1"/>
      <protection hidden="1"/>
    </xf>
    <xf numFmtId="164" fontId="12" fillId="0" borderId="30" xfId="0" applyNumberFormat="1" applyFont="1" applyFill="1" applyBorder="1" applyAlignment="1" applyProtection="1">
      <alignment horizontal="right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34" fillId="0" borderId="10" xfId="0" applyFont="1" applyBorder="1" applyAlignment="1" applyProtection="1">
      <alignment horizontal="justify" vertical="top" wrapText="1"/>
      <protection hidden="1"/>
    </xf>
    <xf numFmtId="0" fontId="35" fillId="0" borderId="10" xfId="0" applyFont="1" applyBorder="1" applyAlignment="1" applyProtection="1">
      <alignment horizontal="justify" vertical="top" wrapText="1"/>
      <protection hidden="1"/>
    </xf>
    <xf numFmtId="164" fontId="3" fillId="0" borderId="30" xfId="0" applyNumberFormat="1" applyFont="1" applyFill="1" applyBorder="1" applyAlignment="1" applyProtection="1">
      <alignment horizontal="right"/>
      <protection hidden="1"/>
    </xf>
    <xf numFmtId="164" fontId="12" fillId="0" borderId="30" xfId="0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164" fontId="3" fillId="0" borderId="30" xfId="0" applyNumberFormat="1" applyFont="1" applyFill="1" applyBorder="1" applyAlignment="1" applyProtection="1">
      <alignment/>
      <protection hidden="1"/>
    </xf>
    <xf numFmtId="0" fontId="22" fillId="0" borderId="29" xfId="0" applyFont="1" applyBorder="1" applyAlignment="1" applyProtection="1">
      <alignment horizontal="center" vertical="top" wrapText="1"/>
      <protection hidden="1"/>
    </xf>
    <xf numFmtId="0" fontId="22" fillId="0" borderId="10" xfId="0" applyFont="1" applyBorder="1" applyAlignment="1" applyProtection="1">
      <alignment horizontal="justify" vertical="top" wrapText="1"/>
      <protection hidden="1"/>
    </xf>
    <xf numFmtId="0" fontId="25" fillId="0" borderId="0" xfId="0" applyFont="1" applyAlignment="1" applyProtection="1">
      <alignment/>
      <protection hidden="1"/>
    </xf>
    <xf numFmtId="0" fontId="36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34" fillId="0" borderId="10" xfId="0" applyFont="1" applyBorder="1" applyAlignment="1" applyProtection="1">
      <alignment horizontal="justify" vertical="top" wrapText="1"/>
      <protection hidden="1"/>
    </xf>
    <xf numFmtId="164" fontId="12" fillId="0" borderId="30" xfId="0" applyNumberFormat="1" applyFont="1" applyFill="1" applyBorder="1" applyAlignment="1" applyProtection="1">
      <alignment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164" fontId="12" fillId="0" borderId="27" xfId="53" applyNumberFormat="1" applyFont="1" applyFill="1" applyBorder="1" applyAlignment="1" applyProtection="1">
      <alignment horizontal="right" vertical="center"/>
      <protection hidden="1"/>
    </xf>
    <xf numFmtId="0" fontId="10" fillId="0" borderId="31" xfId="0" applyFont="1" applyBorder="1" applyAlignment="1" applyProtection="1">
      <alignment horizontal="center" vertical="top" wrapText="1"/>
      <protection hidden="1"/>
    </xf>
    <xf numFmtId="0" fontId="10" fillId="0" borderId="32" xfId="0" applyFont="1" applyBorder="1" applyAlignment="1" applyProtection="1">
      <alignment horizontal="center" vertical="top" wrapText="1"/>
      <protection hidden="1"/>
    </xf>
    <xf numFmtId="0" fontId="10" fillId="0" borderId="33" xfId="0" applyFont="1" applyBorder="1" applyAlignment="1" applyProtection="1">
      <alignment horizontal="justify" vertical="top" wrapText="1"/>
      <protection hidden="1"/>
    </xf>
    <xf numFmtId="164" fontId="12" fillId="0" borderId="34" xfId="53" applyNumberFormat="1" applyFont="1" applyFill="1" applyBorder="1" applyAlignment="1" applyProtection="1">
      <alignment horizontal="right" vertical="center"/>
      <protection hidden="1"/>
    </xf>
    <xf numFmtId="0" fontId="22" fillId="0" borderId="35" xfId="0" applyFont="1" applyBorder="1" applyAlignment="1" applyProtection="1">
      <alignment horizontal="center" vertical="top" wrapText="1"/>
      <protection hidden="1"/>
    </xf>
    <xf numFmtId="0" fontId="22" fillId="0" borderId="24" xfId="0" applyFont="1" applyBorder="1" applyAlignment="1" applyProtection="1">
      <alignment horizontal="justify" vertical="top" wrapText="1"/>
      <protection hidden="1"/>
    </xf>
    <xf numFmtId="164" fontId="12" fillId="0" borderId="24" xfId="0" applyNumberFormat="1" applyFont="1" applyFill="1" applyBorder="1" applyAlignment="1" applyProtection="1">
      <alignment/>
      <protection hidden="1"/>
    </xf>
    <xf numFmtId="0" fontId="22" fillId="0" borderId="36" xfId="0" applyFont="1" applyBorder="1" applyAlignment="1" applyProtection="1">
      <alignment horizontal="center" vertical="top" wrapText="1"/>
      <protection hidden="1"/>
    </xf>
    <xf numFmtId="164" fontId="12" fillId="0" borderId="10" xfId="0" applyNumberFormat="1" applyFont="1" applyFill="1" applyBorder="1" applyAlignment="1" applyProtection="1">
      <alignment/>
      <protection hidden="1"/>
    </xf>
    <xf numFmtId="0" fontId="10" fillId="0" borderId="36" xfId="0" applyFont="1" applyBorder="1" applyAlignment="1" applyProtection="1">
      <alignment horizontal="center" vertical="top" wrapText="1"/>
      <protection hidden="1"/>
    </xf>
    <xf numFmtId="0" fontId="10" fillId="0" borderId="36" xfId="0" applyFont="1" applyBorder="1" applyAlignment="1" applyProtection="1">
      <alignment horizontal="left" vertical="top" wrapText="1"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164" fontId="37" fillId="0" borderId="0" xfId="0" applyNumberFormat="1" applyFont="1" applyAlignment="1" applyProtection="1">
      <alignment/>
      <protection hidden="1"/>
    </xf>
    <xf numFmtId="0" fontId="22" fillId="0" borderId="10" xfId="0" applyFont="1" applyBorder="1" applyAlignment="1" applyProtection="1">
      <alignment horizontal="center" vertical="top" wrapText="1"/>
      <protection hidden="1"/>
    </xf>
    <xf numFmtId="0" fontId="33" fillId="0" borderId="10" xfId="0" applyFont="1" applyBorder="1" applyAlignment="1" applyProtection="1">
      <alignment vertical="top" wrapText="1"/>
      <protection hidden="1"/>
    </xf>
    <xf numFmtId="164" fontId="13" fillId="0" borderId="10" xfId="0" applyNumberFormat="1" applyFont="1" applyFill="1" applyBorder="1" applyAlignment="1" applyProtection="1">
      <alignment/>
      <protection hidden="1"/>
    </xf>
    <xf numFmtId="0" fontId="36" fillId="0" borderId="10" xfId="0" applyFont="1" applyBorder="1" applyAlignment="1" applyProtection="1">
      <alignment vertical="top" wrapText="1"/>
      <protection hidden="1"/>
    </xf>
    <xf numFmtId="164" fontId="12" fillId="37" borderId="10" xfId="0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164" fontId="3" fillId="37" borderId="10" xfId="0" applyNumberFormat="1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justify" vertical="top" wrapText="1"/>
      <protection hidden="1"/>
    </xf>
    <xf numFmtId="174" fontId="12" fillId="0" borderId="10" xfId="0" applyNumberFormat="1" applyFont="1" applyFill="1" applyBorder="1" applyAlignment="1" applyProtection="1">
      <alignment/>
      <protection hidden="1"/>
    </xf>
    <xf numFmtId="178" fontId="12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174" fontId="38" fillId="0" borderId="0" xfId="0" applyNumberFormat="1" applyFont="1" applyFill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vertical="top" wrapText="1"/>
      <protection hidden="1"/>
    </xf>
    <xf numFmtId="0" fontId="20" fillId="0" borderId="0" xfId="0" applyFont="1" applyFill="1" applyAlignment="1">
      <alignment horizontal="center"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164" fontId="3" fillId="0" borderId="0" xfId="53" applyNumberFormat="1" applyFont="1" applyFill="1" applyAlignment="1" applyProtection="1">
      <alignment horizontal="right" vertical="center"/>
      <protection hidden="1"/>
    </xf>
    <xf numFmtId="49" fontId="41" fillId="0" borderId="15" xfId="0" applyNumberFormat="1" applyFont="1" applyFill="1" applyBorder="1" applyAlignment="1">
      <alignment horizontal="center" vertical="top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justify" vertical="justify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15" xfId="0" applyFont="1" applyFill="1" applyBorder="1" applyAlignment="1">
      <alignment horizontal="left" vertical="justify" wrapText="1"/>
    </xf>
    <xf numFmtId="164" fontId="3" fillId="0" borderId="10" xfId="53" applyNumberFormat="1" applyFont="1" applyFill="1" applyBorder="1" applyAlignment="1" applyProtection="1">
      <alignment horizontal="left"/>
      <protection hidden="1"/>
    </xf>
    <xf numFmtId="49" fontId="9" fillId="0" borderId="0" xfId="53" applyNumberFormat="1" applyFont="1" applyFill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36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49" fontId="9" fillId="0" borderId="36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36" xfId="0" applyNumberFormat="1" applyFont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3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justify" wrapText="1"/>
    </xf>
    <xf numFmtId="0" fontId="9" fillId="0" borderId="38" xfId="0" applyFont="1" applyBorder="1" applyAlignment="1">
      <alignment horizontal="left" vertical="justify" wrapText="1"/>
    </xf>
    <xf numFmtId="0" fontId="9" fillId="0" borderId="23" xfId="0" applyFont="1" applyBorder="1" applyAlignment="1">
      <alignment horizontal="left" vertical="justify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5" fillId="34" borderId="36" xfId="0" applyNumberFormat="1" applyFont="1" applyFill="1" applyBorder="1" applyAlignment="1">
      <alignment horizontal="center" vertical="top" wrapText="1"/>
    </xf>
    <xf numFmtId="49" fontId="5" fillId="34" borderId="38" xfId="0" applyNumberFormat="1" applyFont="1" applyFill="1" applyBorder="1" applyAlignment="1">
      <alignment horizontal="center" vertical="top" wrapText="1"/>
    </xf>
    <xf numFmtId="49" fontId="5" fillId="34" borderId="2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horizontal="center"/>
      <protection hidden="1"/>
    </xf>
    <xf numFmtId="0" fontId="28" fillId="0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7" fillId="0" borderId="45" xfId="53" applyFont="1" applyFill="1" applyBorder="1" applyAlignment="1" applyProtection="1">
      <alignment horizontal="center" vertical="center"/>
      <protection hidden="1"/>
    </xf>
    <xf numFmtId="0" fontId="7" fillId="0" borderId="46" xfId="53" applyFont="1" applyFill="1" applyBorder="1" applyAlignment="1" applyProtection="1">
      <alignment horizontal="center" vertical="center"/>
      <protection hidden="1"/>
    </xf>
    <xf numFmtId="49" fontId="7" fillId="0" borderId="47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8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9" xfId="53" applyNumberFormat="1" applyFont="1" applyFill="1" applyBorder="1" applyAlignment="1" applyProtection="1">
      <alignment horizontal="center" vertical="center" wrapText="1"/>
      <protection hidden="1"/>
    </xf>
    <xf numFmtId="3" fontId="7" fillId="0" borderId="50" xfId="53" applyNumberFormat="1" applyFont="1" applyFill="1" applyBorder="1" applyAlignment="1" applyProtection="1">
      <alignment horizontal="center" vertical="center"/>
      <protection hidden="1"/>
    </xf>
    <xf numFmtId="3" fontId="7" fillId="0" borderId="51" xfId="53" applyNumberFormat="1" applyFont="1" applyFill="1" applyBorder="1" applyAlignment="1" applyProtection="1">
      <alignment horizontal="center" vertical="center"/>
      <protection hidden="1"/>
    </xf>
    <xf numFmtId="0" fontId="7" fillId="0" borderId="47" xfId="53" applyFont="1" applyFill="1" applyBorder="1" applyAlignment="1" applyProtection="1">
      <alignment horizontal="center" vertical="center"/>
      <protection hidden="1"/>
    </xf>
    <xf numFmtId="0" fontId="7" fillId="0" borderId="52" xfId="53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left"/>
      <protection hidden="1"/>
    </xf>
    <xf numFmtId="0" fontId="5" fillId="0" borderId="54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9" fillId="0" borderId="23" xfId="0" applyFont="1" applyBorder="1" applyAlignment="1" applyProtection="1">
      <alignment horizontal="left" wrapText="1"/>
      <protection hidden="1"/>
    </xf>
    <xf numFmtId="49" fontId="9" fillId="0" borderId="0" xfId="53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3" fontId="4" fillId="0" borderId="0" xfId="53" applyNumberFormat="1" applyFont="1" applyFill="1" applyBorder="1" applyAlignment="1" applyProtection="1">
      <alignment horizontal="center" wrapText="1"/>
      <protection hidden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9" fillId="0" borderId="21" xfId="53" applyFont="1" applyFill="1" applyBorder="1" applyAlignment="1" applyProtection="1">
      <alignment horizontal="left" vertical="center" wrapText="1"/>
      <protection hidden="1"/>
    </xf>
    <xf numFmtId="0" fontId="9" fillId="0" borderId="55" xfId="53" applyFont="1" applyFill="1" applyBorder="1" applyAlignment="1" applyProtection="1">
      <alignment horizontal="left" vertical="center" wrapText="1"/>
      <protection hidden="1"/>
    </xf>
    <xf numFmtId="0" fontId="9" fillId="0" borderId="20" xfId="53" applyFont="1" applyFill="1" applyBorder="1" applyAlignment="1" applyProtection="1">
      <alignment horizontal="left" vertical="center" wrapText="1"/>
      <protection hidden="1"/>
    </xf>
    <xf numFmtId="49" fontId="10" fillId="0" borderId="55" xfId="0" applyNumberFormat="1" applyFont="1" applyFill="1" applyBorder="1" applyAlignment="1">
      <alignment horizontal="center" vertical="center" wrapText="1"/>
    </xf>
    <xf numFmtId="0" fontId="9" fillId="0" borderId="21" xfId="53" applyFont="1" applyFill="1" applyBorder="1" applyAlignment="1" applyProtection="1">
      <alignment horizontal="left" vertical="center" wrapText="1"/>
      <protection hidden="1"/>
    </xf>
    <xf numFmtId="0" fontId="9" fillId="0" borderId="55" xfId="53" applyFont="1" applyFill="1" applyBorder="1" applyAlignment="1" applyProtection="1">
      <alignment horizontal="left" vertical="center" wrapText="1"/>
      <protection hidden="1"/>
    </xf>
    <xf numFmtId="0" fontId="9" fillId="0" borderId="20" xfId="53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55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55" xfId="0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21" xfId="53" applyFont="1" applyFill="1" applyBorder="1" applyAlignment="1" applyProtection="1">
      <alignment horizontal="left" wrapText="1"/>
      <protection hidden="1"/>
    </xf>
    <xf numFmtId="0" fontId="9" fillId="0" borderId="20" xfId="53" applyFont="1" applyFill="1" applyBorder="1" applyAlignment="1" applyProtection="1">
      <alignment horizontal="left" wrapText="1"/>
      <protection hidden="1"/>
    </xf>
    <xf numFmtId="49" fontId="20" fillId="0" borderId="21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/>
    </xf>
    <xf numFmtId="49" fontId="3" fillId="0" borderId="0" xfId="53" applyNumberFormat="1" applyFont="1" applyFill="1" applyAlignment="1" applyProtection="1">
      <alignment horizontal="center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49" fontId="20" fillId="0" borderId="56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right"/>
    </xf>
    <xf numFmtId="0" fontId="40" fillId="0" borderId="5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7"/>
  <sheetViews>
    <sheetView tabSelected="1" view="pageLayout" workbookViewId="0" topLeftCell="B1">
      <selection activeCell="F4" sqref="F4"/>
    </sheetView>
  </sheetViews>
  <sheetFormatPr defaultColWidth="8.75390625" defaultRowHeight="12.75"/>
  <cols>
    <col min="1" max="1" width="8.25390625" style="100" customWidth="1"/>
    <col min="2" max="2" width="19.375" style="100" customWidth="1"/>
    <col min="3" max="3" width="31.375" style="100" customWidth="1"/>
    <col min="4" max="4" width="8.75390625" style="100" customWidth="1"/>
    <col min="5" max="5" width="21.75390625" style="100" customWidth="1"/>
    <col min="6" max="6" width="26.75390625" style="100" customWidth="1"/>
    <col min="7" max="16384" width="8.75390625" style="100" customWidth="1"/>
  </cols>
  <sheetData>
    <row r="2" spans="3:6" ht="12.75" customHeight="1">
      <c r="C2" s="329"/>
      <c r="D2" s="329"/>
      <c r="E2" s="329"/>
      <c r="F2" s="329" t="s">
        <v>1454</v>
      </c>
    </row>
    <row r="3" spans="4:6" ht="12.75" customHeight="1">
      <c r="D3" s="329"/>
      <c r="E3" s="329"/>
      <c r="F3" s="329" t="s">
        <v>1618</v>
      </c>
    </row>
    <row r="4" spans="4:6" ht="12.75" customHeight="1">
      <c r="D4" s="113"/>
      <c r="E4" s="113"/>
      <c r="F4" s="113" t="s">
        <v>2043</v>
      </c>
    </row>
    <row r="6" spans="4:6" ht="12.75">
      <c r="D6" s="8"/>
      <c r="F6" s="329" t="s">
        <v>1455</v>
      </c>
    </row>
    <row r="7" spans="4:6" ht="12.75">
      <c r="D7" s="8"/>
      <c r="E7" s="330"/>
      <c r="F7" s="329" t="s">
        <v>1618</v>
      </c>
    </row>
    <row r="8" ht="12.75">
      <c r="F8" s="113" t="s">
        <v>1456</v>
      </c>
    </row>
    <row r="9" ht="12.75">
      <c r="D9" s="8"/>
    </row>
    <row r="10" ht="12.75">
      <c r="D10" s="8"/>
    </row>
    <row r="11" spans="4:6" ht="12.75" customHeight="1">
      <c r="D11" s="366"/>
      <c r="E11" s="366"/>
      <c r="F11" s="366"/>
    </row>
    <row r="13" spans="1:4" ht="12.75" customHeight="1" hidden="1">
      <c r="A13" s="331"/>
      <c r="B13" s="332"/>
      <c r="C13" s="333"/>
      <c r="D13" s="333"/>
    </row>
    <row r="14" spans="1:4" ht="12.75" customHeight="1" hidden="1">
      <c r="A14" s="331"/>
      <c r="B14" s="332"/>
      <c r="C14" s="334"/>
      <c r="D14" s="334"/>
    </row>
    <row r="15" spans="1:4" ht="12.75" customHeight="1" hidden="1">
      <c r="A15" s="331"/>
      <c r="B15" s="332"/>
      <c r="C15" s="1"/>
      <c r="D15" s="1"/>
    </row>
    <row r="16" spans="1:3" ht="12.75" customHeight="1" hidden="1">
      <c r="A16" s="335"/>
      <c r="B16" s="335"/>
      <c r="C16" s="332"/>
    </row>
    <row r="17" spans="1:6" ht="12.75" customHeight="1">
      <c r="A17" s="367" t="s">
        <v>1457</v>
      </c>
      <c r="B17" s="367"/>
      <c r="C17" s="367"/>
      <c r="D17" s="367"/>
      <c r="E17" s="367"/>
      <c r="F17" s="367"/>
    </row>
    <row r="18" spans="1:6" ht="12.75" customHeight="1">
      <c r="A18" s="368" t="s">
        <v>1458</v>
      </c>
      <c r="B18" s="368"/>
      <c r="C18" s="368"/>
      <c r="D18" s="368"/>
      <c r="E18" s="368"/>
      <c r="F18" s="368"/>
    </row>
    <row r="19" spans="1:6" ht="13.5" thickBot="1">
      <c r="A19" s="336"/>
      <c r="B19" s="336"/>
      <c r="C19" s="336"/>
      <c r="D19" s="336"/>
      <c r="E19" s="336"/>
      <c r="F19" s="336"/>
    </row>
    <row r="20" spans="1:6" ht="39" customHeight="1" thickBot="1">
      <c r="A20" s="337" t="s">
        <v>1459</v>
      </c>
      <c r="B20" s="338" t="s">
        <v>1460</v>
      </c>
      <c r="C20" s="369" t="s">
        <v>1461</v>
      </c>
      <c r="D20" s="370"/>
      <c r="E20" s="370"/>
      <c r="F20" s="371"/>
    </row>
    <row r="21" spans="1:6" ht="12.75" customHeight="1">
      <c r="A21" s="363" t="s">
        <v>2008</v>
      </c>
      <c r="B21" s="364"/>
      <c r="C21" s="364"/>
      <c r="D21" s="364"/>
      <c r="E21" s="364"/>
      <c r="F21" s="365"/>
    </row>
    <row r="22" spans="1:6" ht="12.75" customHeight="1">
      <c r="A22" s="339" t="s">
        <v>463</v>
      </c>
      <c r="B22" s="340" t="s">
        <v>1462</v>
      </c>
      <c r="C22" s="360" t="s">
        <v>1285</v>
      </c>
      <c r="D22" s="361"/>
      <c r="E22" s="361"/>
      <c r="F22" s="362"/>
    </row>
    <row r="23" spans="1:6" s="342" customFormat="1" ht="25.5" customHeight="1">
      <c r="A23" s="341" t="s">
        <v>463</v>
      </c>
      <c r="B23" s="341" t="s">
        <v>1286</v>
      </c>
      <c r="C23" s="372" t="s">
        <v>1394</v>
      </c>
      <c r="D23" s="373"/>
      <c r="E23" s="373"/>
      <c r="F23" s="374"/>
    </row>
    <row r="24" spans="1:6" ht="38.25" customHeight="1">
      <c r="A24" s="341" t="s">
        <v>463</v>
      </c>
      <c r="B24" s="341" t="s">
        <v>1395</v>
      </c>
      <c r="C24" s="360" t="s">
        <v>1463</v>
      </c>
      <c r="D24" s="361"/>
      <c r="E24" s="361"/>
      <c r="F24" s="362"/>
    </row>
    <row r="25" spans="1:6" ht="38.25" customHeight="1">
      <c r="A25" s="341" t="s">
        <v>463</v>
      </c>
      <c r="B25" s="341" t="s">
        <v>1396</v>
      </c>
      <c r="C25" s="360" t="s">
        <v>1464</v>
      </c>
      <c r="D25" s="361"/>
      <c r="E25" s="361"/>
      <c r="F25" s="362"/>
    </row>
    <row r="26" spans="1:6" ht="38.25" customHeight="1">
      <c r="A26" s="341" t="s">
        <v>463</v>
      </c>
      <c r="B26" s="341" t="s">
        <v>1397</v>
      </c>
      <c r="C26" s="360" t="s">
        <v>1465</v>
      </c>
      <c r="D26" s="361"/>
      <c r="E26" s="361"/>
      <c r="F26" s="362"/>
    </row>
    <row r="27" spans="1:6" ht="25.5" customHeight="1">
      <c r="A27" s="341" t="s">
        <v>463</v>
      </c>
      <c r="B27" s="341" t="s">
        <v>1398</v>
      </c>
      <c r="C27" s="360" t="s">
        <v>1399</v>
      </c>
      <c r="D27" s="361"/>
      <c r="E27" s="361"/>
      <c r="F27" s="362"/>
    </row>
    <row r="28" spans="1:6" ht="38.25" customHeight="1">
      <c r="A28" s="341" t="s">
        <v>463</v>
      </c>
      <c r="B28" s="341" t="s">
        <v>1466</v>
      </c>
      <c r="C28" s="360" t="s">
        <v>1467</v>
      </c>
      <c r="D28" s="361"/>
      <c r="E28" s="361"/>
      <c r="F28" s="362"/>
    </row>
    <row r="29" spans="1:6" ht="25.5" customHeight="1">
      <c r="A29" s="341" t="s">
        <v>463</v>
      </c>
      <c r="B29" s="341" t="s">
        <v>1468</v>
      </c>
      <c r="C29" s="360" t="s">
        <v>1469</v>
      </c>
      <c r="D29" s="361"/>
      <c r="E29" s="361"/>
      <c r="F29" s="362"/>
    </row>
    <row r="30" spans="1:6" ht="38.25" customHeight="1">
      <c r="A30" s="341" t="s">
        <v>463</v>
      </c>
      <c r="B30" s="341" t="s">
        <v>1400</v>
      </c>
      <c r="C30" s="360" t="s">
        <v>1470</v>
      </c>
      <c r="D30" s="361"/>
      <c r="E30" s="361"/>
      <c r="F30" s="362"/>
    </row>
    <row r="31" spans="1:6" ht="38.25" customHeight="1">
      <c r="A31" s="341" t="s">
        <v>463</v>
      </c>
      <c r="B31" s="341" t="s">
        <v>1577</v>
      </c>
      <c r="C31" s="360" t="s">
        <v>1578</v>
      </c>
      <c r="D31" s="361"/>
      <c r="E31" s="361"/>
      <c r="F31" s="362"/>
    </row>
    <row r="32" spans="1:6" ht="25.5" customHeight="1">
      <c r="A32" s="341" t="s">
        <v>463</v>
      </c>
      <c r="B32" s="341" t="s">
        <v>1579</v>
      </c>
      <c r="C32" s="360" t="s">
        <v>1580</v>
      </c>
      <c r="D32" s="361"/>
      <c r="E32" s="361"/>
      <c r="F32" s="362"/>
    </row>
    <row r="33" spans="1:6" ht="12.75" customHeight="1">
      <c r="A33" s="341" t="s">
        <v>463</v>
      </c>
      <c r="B33" s="341" t="s">
        <v>1401</v>
      </c>
      <c r="C33" s="360" t="s">
        <v>1581</v>
      </c>
      <c r="D33" s="361"/>
      <c r="E33" s="361"/>
      <c r="F33" s="362"/>
    </row>
    <row r="34" spans="1:6" ht="12.75" customHeight="1">
      <c r="A34" s="341" t="s">
        <v>463</v>
      </c>
      <c r="B34" s="341" t="s">
        <v>1402</v>
      </c>
      <c r="C34" s="360" t="s">
        <v>1582</v>
      </c>
      <c r="D34" s="361"/>
      <c r="E34" s="361"/>
      <c r="F34" s="362"/>
    </row>
    <row r="35" spans="1:6" ht="51" customHeight="1">
      <c r="A35" s="341" t="s">
        <v>463</v>
      </c>
      <c r="B35" s="341" t="s">
        <v>1403</v>
      </c>
      <c r="C35" s="360" t="s">
        <v>1404</v>
      </c>
      <c r="D35" s="361"/>
      <c r="E35" s="361"/>
      <c r="F35" s="362"/>
    </row>
    <row r="36" spans="1:6" ht="51" customHeight="1">
      <c r="A36" s="341" t="s">
        <v>463</v>
      </c>
      <c r="B36" s="341" t="s">
        <v>1405</v>
      </c>
      <c r="C36" s="360" t="s">
        <v>1406</v>
      </c>
      <c r="D36" s="361"/>
      <c r="E36" s="361"/>
      <c r="F36" s="362"/>
    </row>
    <row r="37" spans="1:6" ht="51" customHeight="1">
      <c r="A37" s="341" t="s">
        <v>463</v>
      </c>
      <c r="B37" s="341" t="s">
        <v>1407</v>
      </c>
      <c r="C37" s="360" t="s">
        <v>1408</v>
      </c>
      <c r="D37" s="361"/>
      <c r="E37" s="361"/>
      <c r="F37" s="362"/>
    </row>
    <row r="38" spans="1:6" ht="51" customHeight="1">
      <c r="A38" s="341" t="s">
        <v>463</v>
      </c>
      <c r="B38" s="341" t="s">
        <v>1409</v>
      </c>
      <c r="C38" s="360" t="s">
        <v>1410</v>
      </c>
      <c r="D38" s="361"/>
      <c r="E38" s="361"/>
      <c r="F38" s="362"/>
    </row>
    <row r="39" spans="1:6" ht="12.75" customHeight="1">
      <c r="A39" s="341" t="s">
        <v>463</v>
      </c>
      <c r="B39" s="341" t="s">
        <v>1583</v>
      </c>
      <c r="C39" s="360" t="s">
        <v>1584</v>
      </c>
      <c r="D39" s="361"/>
      <c r="E39" s="361"/>
      <c r="F39" s="362"/>
    </row>
    <row r="40" spans="1:6" ht="25.5" customHeight="1">
      <c r="A40" s="341" t="s">
        <v>463</v>
      </c>
      <c r="B40" s="341" t="s">
        <v>1411</v>
      </c>
      <c r="C40" s="360" t="s">
        <v>1585</v>
      </c>
      <c r="D40" s="361"/>
      <c r="E40" s="361"/>
      <c r="F40" s="362"/>
    </row>
    <row r="41" spans="1:7" ht="25.5" customHeight="1">
      <c r="A41" s="341" t="s">
        <v>463</v>
      </c>
      <c r="B41" s="341" t="s">
        <v>1586</v>
      </c>
      <c r="C41" s="360" t="s">
        <v>1587</v>
      </c>
      <c r="D41" s="361"/>
      <c r="E41" s="361"/>
      <c r="F41" s="362"/>
      <c r="G41" s="343"/>
    </row>
    <row r="42" spans="1:6" ht="12.75" customHeight="1">
      <c r="A42" s="341" t="s">
        <v>463</v>
      </c>
      <c r="B42" s="341" t="s">
        <v>1412</v>
      </c>
      <c r="C42" s="360" t="s">
        <v>1588</v>
      </c>
      <c r="D42" s="361"/>
      <c r="E42" s="361"/>
      <c r="F42" s="362"/>
    </row>
    <row r="43" spans="1:6" ht="25.5" customHeight="1">
      <c r="A43" s="341" t="s">
        <v>463</v>
      </c>
      <c r="B43" s="344" t="s">
        <v>1413</v>
      </c>
      <c r="C43" s="360" t="s">
        <v>1589</v>
      </c>
      <c r="D43" s="361"/>
      <c r="E43" s="361"/>
      <c r="F43" s="362"/>
    </row>
    <row r="44" spans="1:6" ht="25.5" customHeight="1">
      <c r="A44" s="341" t="s">
        <v>463</v>
      </c>
      <c r="B44" s="344" t="s">
        <v>1414</v>
      </c>
      <c r="C44" s="360" t="s">
        <v>1590</v>
      </c>
      <c r="D44" s="361"/>
      <c r="E44" s="361"/>
      <c r="F44" s="362"/>
    </row>
    <row r="45" spans="1:6" ht="12.75" customHeight="1">
      <c r="A45" s="375" t="s">
        <v>1591</v>
      </c>
      <c r="B45" s="376"/>
      <c r="C45" s="376"/>
      <c r="D45" s="376"/>
      <c r="E45" s="376"/>
      <c r="F45" s="377"/>
    </row>
    <row r="46" spans="1:6" ht="12.75" customHeight="1">
      <c r="A46" s="345" t="s">
        <v>1969</v>
      </c>
      <c r="B46" s="341" t="s">
        <v>1415</v>
      </c>
      <c r="C46" s="378" t="s">
        <v>1416</v>
      </c>
      <c r="D46" s="379"/>
      <c r="E46" s="379"/>
      <c r="F46" s="380"/>
    </row>
    <row r="47" spans="1:6" ht="25.5" customHeight="1">
      <c r="A47" s="345" t="s">
        <v>1969</v>
      </c>
      <c r="B47" s="341" t="s">
        <v>1579</v>
      </c>
      <c r="C47" s="378" t="s">
        <v>1580</v>
      </c>
      <c r="D47" s="379"/>
      <c r="E47" s="379"/>
      <c r="F47" s="380"/>
    </row>
    <row r="48" spans="1:6" ht="12.75" customHeight="1">
      <c r="A48" s="341" t="s">
        <v>1969</v>
      </c>
      <c r="B48" s="341" t="s">
        <v>1401</v>
      </c>
      <c r="C48" s="378" t="s">
        <v>1581</v>
      </c>
      <c r="D48" s="379"/>
      <c r="E48" s="379"/>
      <c r="F48" s="380"/>
    </row>
    <row r="49" spans="1:6" ht="25.5" customHeight="1">
      <c r="A49" s="341" t="s">
        <v>1969</v>
      </c>
      <c r="B49" s="341" t="s">
        <v>1417</v>
      </c>
      <c r="C49" s="378" t="s">
        <v>1592</v>
      </c>
      <c r="D49" s="379"/>
      <c r="E49" s="379"/>
      <c r="F49" s="380"/>
    </row>
    <row r="50" spans="1:6" ht="12.75" customHeight="1">
      <c r="A50" s="341" t="s">
        <v>1969</v>
      </c>
      <c r="B50" s="341" t="s">
        <v>1412</v>
      </c>
      <c r="C50" s="378" t="s">
        <v>1588</v>
      </c>
      <c r="D50" s="379"/>
      <c r="E50" s="379"/>
      <c r="F50" s="380"/>
    </row>
    <row r="51" spans="1:6" ht="12.75" customHeight="1">
      <c r="A51" s="341" t="s">
        <v>1969</v>
      </c>
      <c r="B51" s="344" t="s">
        <v>1418</v>
      </c>
      <c r="C51" s="378" t="s">
        <v>874</v>
      </c>
      <c r="D51" s="379"/>
      <c r="E51" s="379"/>
      <c r="F51" s="380"/>
    </row>
    <row r="52" spans="1:6" ht="12.75" customHeight="1">
      <c r="A52" s="341" t="s">
        <v>1969</v>
      </c>
      <c r="B52" s="341" t="s">
        <v>1593</v>
      </c>
      <c r="C52" s="378" t="s">
        <v>1594</v>
      </c>
      <c r="D52" s="379"/>
      <c r="E52" s="379"/>
      <c r="F52" s="380"/>
    </row>
    <row r="53" spans="1:6" ht="12.75" customHeight="1">
      <c r="A53" s="341" t="s">
        <v>1969</v>
      </c>
      <c r="B53" s="341" t="s">
        <v>875</v>
      </c>
      <c r="C53" s="378" t="s">
        <v>1595</v>
      </c>
      <c r="D53" s="379"/>
      <c r="E53" s="379"/>
      <c r="F53" s="380"/>
    </row>
    <row r="54" spans="1:6" ht="25.5" customHeight="1">
      <c r="A54" s="341" t="s">
        <v>1969</v>
      </c>
      <c r="B54" s="341" t="s">
        <v>1563</v>
      </c>
      <c r="C54" s="378" t="s">
        <v>1596</v>
      </c>
      <c r="D54" s="379"/>
      <c r="E54" s="379"/>
      <c r="F54" s="380"/>
    </row>
    <row r="55" spans="1:6" ht="38.25" customHeight="1">
      <c r="A55" s="341" t="s">
        <v>1969</v>
      </c>
      <c r="B55" s="341" t="s">
        <v>1597</v>
      </c>
      <c r="C55" s="378" t="s">
        <v>1598</v>
      </c>
      <c r="D55" s="379"/>
      <c r="E55" s="379"/>
      <c r="F55" s="380"/>
    </row>
    <row r="56" spans="1:6" s="347" customFormat="1" ht="25.5" customHeight="1">
      <c r="A56" s="346" t="s">
        <v>1969</v>
      </c>
      <c r="B56" s="346" t="s">
        <v>244</v>
      </c>
      <c r="C56" s="381" t="s">
        <v>1599</v>
      </c>
      <c r="D56" s="382"/>
      <c r="E56" s="382"/>
      <c r="F56" s="383"/>
    </row>
    <row r="57" spans="1:6" ht="38.25" customHeight="1">
      <c r="A57" s="348" t="s">
        <v>1969</v>
      </c>
      <c r="B57" s="348" t="s">
        <v>245</v>
      </c>
      <c r="C57" s="378" t="s">
        <v>1600</v>
      </c>
      <c r="D57" s="379"/>
      <c r="E57" s="379"/>
      <c r="F57" s="380"/>
    </row>
    <row r="58" spans="1:6" ht="38.25" customHeight="1">
      <c r="A58" s="341" t="s">
        <v>1969</v>
      </c>
      <c r="B58" s="341" t="s">
        <v>1601</v>
      </c>
      <c r="C58" s="378" t="s">
        <v>1602</v>
      </c>
      <c r="D58" s="379"/>
      <c r="E58" s="379"/>
      <c r="F58" s="380"/>
    </row>
    <row r="59" spans="1:6" ht="25.5" customHeight="1">
      <c r="A59" s="341" t="s">
        <v>1969</v>
      </c>
      <c r="B59" s="341" t="s">
        <v>246</v>
      </c>
      <c r="C59" s="378" t="s">
        <v>1603</v>
      </c>
      <c r="D59" s="379"/>
      <c r="E59" s="379"/>
      <c r="F59" s="380"/>
    </row>
    <row r="60" spans="1:6" ht="25.5" customHeight="1">
      <c r="A60" s="341" t="s">
        <v>1969</v>
      </c>
      <c r="B60" s="341" t="s">
        <v>1604</v>
      </c>
      <c r="C60" s="378" t="s">
        <v>1669</v>
      </c>
      <c r="D60" s="379"/>
      <c r="E60" s="379"/>
      <c r="F60" s="380"/>
    </row>
    <row r="61" spans="1:6" s="347" customFormat="1" ht="12.75" customHeight="1">
      <c r="A61" s="349" t="s">
        <v>1969</v>
      </c>
      <c r="B61" s="349" t="s">
        <v>1670</v>
      </c>
      <c r="C61" s="381" t="s">
        <v>1671</v>
      </c>
      <c r="D61" s="382"/>
      <c r="E61" s="382"/>
      <c r="F61" s="383"/>
    </row>
    <row r="62" spans="1:6" s="343" customFormat="1" ht="12.75" customHeight="1">
      <c r="A62" s="341" t="s">
        <v>1969</v>
      </c>
      <c r="B62" s="341" t="s">
        <v>247</v>
      </c>
      <c r="C62" s="378" t="s">
        <v>248</v>
      </c>
      <c r="D62" s="379"/>
      <c r="E62" s="379"/>
      <c r="F62" s="380"/>
    </row>
    <row r="63" spans="1:6" ht="25.5" customHeight="1">
      <c r="A63" s="341" t="s">
        <v>1969</v>
      </c>
      <c r="B63" s="341" t="s">
        <v>1672</v>
      </c>
      <c r="C63" s="378" t="s">
        <v>1673</v>
      </c>
      <c r="D63" s="379"/>
      <c r="E63" s="379"/>
      <c r="F63" s="380"/>
    </row>
    <row r="64" spans="1:6" ht="25.5" customHeight="1">
      <c r="A64" s="341" t="s">
        <v>1969</v>
      </c>
      <c r="B64" s="341" t="s">
        <v>249</v>
      </c>
      <c r="C64" s="378" t="s">
        <v>1674</v>
      </c>
      <c r="D64" s="379"/>
      <c r="E64" s="379"/>
      <c r="F64" s="380"/>
    </row>
    <row r="65" spans="1:6" ht="25.5" customHeight="1">
      <c r="A65" s="341" t="s">
        <v>1969</v>
      </c>
      <c r="B65" s="341" t="s">
        <v>250</v>
      </c>
      <c r="C65" s="378" t="s">
        <v>1675</v>
      </c>
      <c r="D65" s="379"/>
      <c r="E65" s="379"/>
      <c r="F65" s="380"/>
    </row>
    <row r="66" spans="1:6" ht="25.5" customHeight="1">
      <c r="A66" s="341" t="s">
        <v>1969</v>
      </c>
      <c r="B66" s="341" t="s">
        <v>251</v>
      </c>
      <c r="C66" s="378" t="s">
        <v>1676</v>
      </c>
      <c r="D66" s="379"/>
      <c r="E66" s="379"/>
      <c r="F66" s="380"/>
    </row>
    <row r="67" spans="1:6" ht="38.25" customHeight="1">
      <c r="A67" s="350" t="s">
        <v>1969</v>
      </c>
      <c r="B67" s="341" t="s">
        <v>252</v>
      </c>
      <c r="C67" s="378" t="s">
        <v>1677</v>
      </c>
      <c r="D67" s="379"/>
      <c r="E67" s="379"/>
      <c r="F67" s="380"/>
    </row>
    <row r="68" spans="1:6" s="347" customFormat="1" ht="51" customHeight="1">
      <c r="A68" s="349" t="s">
        <v>1969</v>
      </c>
      <c r="B68" s="349" t="s">
        <v>988</v>
      </c>
      <c r="C68" s="381" t="s">
        <v>1678</v>
      </c>
      <c r="D68" s="382"/>
      <c r="E68" s="382"/>
      <c r="F68" s="383"/>
    </row>
    <row r="69" spans="1:6" s="343" customFormat="1" ht="38.25" customHeight="1">
      <c r="A69" s="349" t="s">
        <v>1969</v>
      </c>
      <c r="B69" s="349" t="s">
        <v>989</v>
      </c>
      <c r="C69" s="381" t="s">
        <v>1679</v>
      </c>
      <c r="D69" s="382"/>
      <c r="E69" s="382"/>
      <c r="F69" s="383"/>
    </row>
    <row r="70" spans="1:6" s="343" customFormat="1" ht="25.5" customHeight="1">
      <c r="A70" s="349" t="s">
        <v>1969</v>
      </c>
      <c r="B70" s="349" t="s">
        <v>990</v>
      </c>
      <c r="C70" s="381" t="s">
        <v>1680</v>
      </c>
      <c r="D70" s="382"/>
      <c r="E70" s="382"/>
      <c r="F70" s="383"/>
    </row>
    <row r="71" spans="1:6" s="343" customFormat="1" ht="25.5" customHeight="1">
      <c r="A71" s="349" t="s">
        <v>1969</v>
      </c>
      <c r="B71" s="349" t="s">
        <v>196</v>
      </c>
      <c r="C71" s="381" t="s">
        <v>1452</v>
      </c>
      <c r="D71" s="382"/>
      <c r="E71" s="382"/>
      <c r="F71" s="383"/>
    </row>
    <row r="72" spans="1:6" ht="12.75" customHeight="1">
      <c r="A72" s="341" t="s">
        <v>1969</v>
      </c>
      <c r="B72" s="341" t="s">
        <v>991</v>
      </c>
      <c r="C72" s="378" t="s">
        <v>992</v>
      </c>
      <c r="D72" s="379"/>
      <c r="E72" s="379"/>
      <c r="F72" s="380"/>
    </row>
    <row r="73" spans="1:6" ht="25.5" customHeight="1">
      <c r="A73" s="341" t="s">
        <v>1969</v>
      </c>
      <c r="B73" s="341" t="s">
        <v>993</v>
      </c>
      <c r="C73" s="378" t="s">
        <v>1681</v>
      </c>
      <c r="D73" s="379"/>
      <c r="E73" s="379"/>
      <c r="F73" s="380"/>
    </row>
    <row r="74" spans="1:6" s="347" customFormat="1" ht="12.75" customHeight="1">
      <c r="A74" s="341" t="s">
        <v>1969</v>
      </c>
      <c r="B74" s="341" t="s">
        <v>994</v>
      </c>
      <c r="C74" s="378" t="s">
        <v>1682</v>
      </c>
      <c r="D74" s="379"/>
      <c r="E74" s="379"/>
      <c r="F74" s="380"/>
    </row>
    <row r="75" spans="1:6" ht="38.25" customHeight="1">
      <c r="A75" s="341" t="s">
        <v>1969</v>
      </c>
      <c r="B75" s="341" t="s">
        <v>1683</v>
      </c>
      <c r="C75" s="378" t="s">
        <v>2009</v>
      </c>
      <c r="D75" s="379"/>
      <c r="E75" s="379"/>
      <c r="F75" s="380"/>
    </row>
    <row r="76" spans="1:6" ht="25.5" customHeight="1">
      <c r="A76" s="341" t="s">
        <v>1969</v>
      </c>
      <c r="B76" s="341" t="s">
        <v>995</v>
      </c>
      <c r="C76" s="378" t="s">
        <v>1684</v>
      </c>
      <c r="D76" s="379"/>
      <c r="E76" s="379"/>
      <c r="F76" s="380"/>
    </row>
    <row r="77" spans="1:6" s="351" customFormat="1" ht="25.5" customHeight="1">
      <c r="A77" s="349" t="s">
        <v>1969</v>
      </c>
      <c r="B77" s="349" t="s">
        <v>1685</v>
      </c>
      <c r="C77" s="381" t="s">
        <v>1686</v>
      </c>
      <c r="D77" s="382"/>
      <c r="E77" s="382"/>
      <c r="F77" s="383"/>
    </row>
    <row r="78" spans="1:6" s="351" customFormat="1" ht="25.5" customHeight="1">
      <c r="A78" s="349" t="s">
        <v>1969</v>
      </c>
      <c r="B78" s="349" t="s">
        <v>1687</v>
      </c>
      <c r="C78" s="381" t="s">
        <v>1688</v>
      </c>
      <c r="D78" s="382"/>
      <c r="E78" s="382"/>
      <c r="F78" s="383"/>
    </row>
    <row r="79" spans="1:6" s="351" customFormat="1" ht="38.25" customHeight="1" hidden="1">
      <c r="A79" s="349" t="s">
        <v>1969</v>
      </c>
      <c r="B79" s="349" t="s">
        <v>1689</v>
      </c>
      <c r="C79" s="381" t="s">
        <v>1690</v>
      </c>
      <c r="D79" s="382"/>
      <c r="E79" s="382"/>
      <c r="F79" s="383"/>
    </row>
    <row r="80" spans="1:6" s="351" customFormat="1" ht="26.25" customHeight="1">
      <c r="A80" s="349" t="s">
        <v>1969</v>
      </c>
      <c r="B80" s="349" t="s">
        <v>1691</v>
      </c>
      <c r="C80" s="381" t="s">
        <v>2010</v>
      </c>
      <c r="D80" s="382"/>
      <c r="E80" s="382"/>
      <c r="F80" s="383"/>
    </row>
    <row r="81" spans="1:6" s="351" customFormat="1" ht="25.5" customHeight="1">
      <c r="A81" s="349" t="s">
        <v>1969</v>
      </c>
      <c r="B81" s="349" t="s">
        <v>1692</v>
      </c>
      <c r="C81" s="381" t="s">
        <v>1693</v>
      </c>
      <c r="D81" s="382"/>
      <c r="E81" s="382"/>
      <c r="F81" s="383"/>
    </row>
    <row r="82" spans="1:6" s="351" customFormat="1" ht="25.5" customHeight="1">
      <c r="A82" s="349" t="s">
        <v>1969</v>
      </c>
      <c r="B82" s="349" t="s">
        <v>1694</v>
      </c>
      <c r="C82" s="381" t="s">
        <v>1695</v>
      </c>
      <c r="D82" s="382"/>
      <c r="E82" s="382"/>
      <c r="F82" s="383"/>
    </row>
    <row r="83" spans="1:6" s="351" customFormat="1" ht="25.5" customHeight="1">
      <c r="A83" s="349" t="s">
        <v>1969</v>
      </c>
      <c r="B83" s="349" t="s">
        <v>1696</v>
      </c>
      <c r="C83" s="381" t="s">
        <v>1697</v>
      </c>
      <c r="D83" s="382"/>
      <c r="E83" s="382"/>
      <c r="F83" s="383"/>
    </row>
    <row r="84" spans="1:6" s="351" customFormat="1" ht="25.5" customHeight="1">
      <c r="A84" s="349" t="s">
        <v>1969</v>
      </c>
      <c r="B84" s="349" t="s">
        <v>1698</v>
      </c>
      <c r="C84" s="381" t="s">
        <v>1699</v>
      </c>
      <c r="D84" s="382"/>
      <c r="E84" s="382"/>
      <c r="F84" s="383"/>
    </row>
    <row r="85" spans="1:6" s="351" customFormat="1" ht="25.5" customHeight="1">
      <c r="A85" s="349" t="s">
        <v>1969</v>
      </c>
      <c r="B85" s="349" t="s">
        <v>1700</v>
      </c>
      <c r="C85" s="381" t="s">
        <v>1701</v>
      </c>
      <c r="D85" s="382"/>
      <c r="E85" s="382"/>
      <c r="F85" s="383"/>
    </row>
    <row r="86" spans="1:6" s="351" customFormat="1" ht="25.5" customHeight="1">
      <c r="A86" s="349" t="s">
        <v>1969</v>
      </c>
      <c r="B86" s="349" t="s">
        <v>1702</v>
      </c>
      <c r="C86" s="381" t="s">
        <v>1703</v>
      </c>
      <c r="D86" s="382"/>
      <c r="E86" s="382"/>
      <c r="F86" s="383"/>
    </row>
    <row r="87" spans="1:6" s="351" customFormat="1" ht="25.5" customHeight="1">
      <c r="A87" s="349" t="s">
        <v>1969</v>
      </c>
      <c r="B87" s="349" t="s">
        <v>1704</v>
      </c>
      <c r="C87" s="381" t="s">
        <v>1705</v>
      </c>
      <c r="D87" s="382"/>
      <c r="E87" s="382"/>
      <c r="F87" s="383"/>
    </row>
    <row r="88" spans="1:6" s="351" customFormat="1" ht="25.5" customHeight="1">
      <c r="A88" s="349" t="s">
        <v>1969</v>
      </c>
      <c r="B88" s="349" t="s">
        <v>1706</v>
      </c>
      <c r="C88" s="381" t="s">
        <v>1707</v>
      </c>
      <c r="D88" s="382"/>
      <c r="E88" s="382"/>
      <c r="F88" s="383"/>
    </row>
    <row r="89" spans="1:6" s="351" customFormat="1" ht="25.5" customHeight="1">
      <c r="A89" s="349" t="s">
        <v>1969</v>
      </c>
      <c r="B89" s="349" t="s">
        <v>1708</v>
      </c>
      <c r="C89" s="381" t="s">
        <v>1709</v>
      </c>
      <c r="D89" s="382"/>
      <c r="E89" s="382"/>
      <c r="F89" s="383"/>
    </row>
    <row r="90" spans="1:6" s="351" customFormat="1" ht="25.5" customHeight="1">
      <c r="A90" s="349" t="s">
        <v>1969</v>
      </c>
      <c r="B90" s="349" t="s">
        <v>1710</v>
      </c>
      <c r="C90" s="381" t="s">
        <v>1711</v>
      </c>
      <c r="D90" s="382"/>
      <c r="E90" s="382"/>
      <c r="F90" s="383"/>
    </row>
    <row r="91" spans="1:6" s="351" customFormat="1" ht="25.5" customHeight="1">
      <c r="A91" s="349" t="s">
        <v>1969</v>
      </c>
      <c r="B91" s="349" t="s">
        <v>1712</v>
      </c>
      <c r="C91" s="381" t="s">
        <v>1713</v>
      </c>
      <c r="D91" s="382"/>
      <c r="E91" s="382"/>
      <c r="F91" s="383"/>
    </row>
    <row r="92" spans="1:6" s="351" customFormat="1" ht="25.5" customHeight="1">
      <c r="A92" s="349" t="s">
        <v>1969</v>
      </c>
      <c r="B92" s="349" t="s">
        <v>1714</v>
      </c>
      <c r="C92" s="381" t="s">
        <v>1715</v>
      </c>
      <c r="D92" s="382"/>
      <c r="E92" s="382"/>
      <c r="F92" s="383"/>
    </row>
    <row r="93" spans="1:6" s="351" customFormat="1" ht="25.5" customHeight="1">
      <c r="A93" s="349" t="s">
        <v>1969</v>
      </c>
      <c r="B93" s="349" t="s">
        <v>1716</v>
      </c>
      <c r="C93" s="381" t="s">
        <v>1717</v>
      </c>
      <c r="D93" s="382"/>
      <c r="E93" s="382"/>
      <c r="F93" s="383"/>
    </row>
    <row r="94" spans="1:6" s="351" customFormat="1" ht="25.5" customHeight="1">
      <c r="A94" s="349" t="s">
        <v>1969</v>
      </c>
      <c r="B94" s="349" t="s">
        <v>1718</v>
      </c>
      <c r="C94" s="381" t="s">
        <v>1719</v>
      </c>
      <c r="D94" s="382"/>
      <c r="E94" s="382"/>
      <c r="F94" s="383"/>
    </row>
    <row r="95" spans="1:6" s="351" customFormat="1" ht="35.25" customHeight="1">
      <c r="A95" s="349" t="s">
        <v>1969</v>
      </c>
      <c r="B95" s="349" t="s">
        <v>1720</v>
      </c>
      <c r="C95" s="381" t="s">
        <v>1721</v>
      </c>
      <c r="D95" s="382"/>
      <c r="E95" s="382"/>
      <c r="F95" s="383"/>
    </row>
    <row r="96" spans="1:6" s="351" customFormat="1" ht="25.5" customHeight="1">
      <c r="A96" s="346" t="s">
        <v>1969</v>
      </c>
      <c r="B96" s="346" t="s">
        <v>1722</v>
      </c>
      <c r="C96" s="381" t="s">
        <v>1723</v>
      </c>
      <c r="D96" s="382"/>
      <c r="E96" s="382"/>
      <c r="F96" s="383"/>
    </row>
    <row r="97" spans="1:7" s="351" customFormat="1" ht="25.5" customHeight="1">
      <c r="A97" s="349" t="s">
        <v>1969</v>
      </c>
      <c r="B97" s="349" t="s">
        <v>1724</v>
      </c>
      <c r="C97" s="381" t="s">
        <v>1725</v>
      </c>
      <c r="D97" s="382"/>
      <c r="E97" s="382"/>
      <c r="F97" s="383"/>
      <c r="G97" s="352"/>
    </row>
    <row r="98" spans="1:6" ht="12.75" customHeight="1">
      <c r="A98" s="341" t="s">
        <v>1969</v>
      </c>
      <c r="B98" s="341" t="s">
        <v>1423</v>
      </c>
      <c r="C98" s="378" t="s">
        <v>1424</v>
      </c>
      <c r="D98" s="379"/>
      <c r="E98" s="379"/>
      <c r="F98" s="380"/>
    </row>
    <row r="99" spans="1:6" ht="25.5" customHeight="1">
      <c r="A99" s="349" t="s">
        <v>1969</v>
      </c>
      <c r="B99" s="349" t="s">
        <v>1726</v>
      </c>
      <c r="C99" s="381" t="s">
        <v>1727</v>
      </c>
      <c r="D99" s="382"/>
      <c r="E99" s="382"/>
      <c r="F99" s="383"/>
    </row>
    <row r="100" spans="1:6" ht="25.5" customHeight="1">
      <c r="A100" s="349" t="s">
        <v>1969</v>
      </c>
      <c r="B100" s="349" t="s">
        <v>1728</v>
      </c>
      <c r="C100" s="381" t="s">
        <v>1729</v>
      </c>
      <c r="D100" s="382"/>
      <c r="E100" s="382"/>
      <c r="F100" s="383"/>
    </row>
    <row r="101" spans="1:6" ht="38.25" customHeight="1" hidden="1">
      <c r="A101" s="349" t="s">
        <v>1969</v>
      </c>
      <c r="B101" s="349" t="s">
        <v>1730</v>
      </c>
      <c r="C101" s="381" t="s">
        <v>1690</v>
      </c>
      <c r="D101" s="382"/>
      <c r="E101" s="382"/>
      <c r="F101" s="383"/>
    </row>
    <row r="102" spans="1:6" ht="12.75" customHeight="1">
      <c r="A102" s="349" t="s">
        <v>1969</v>
      </c>
      <c r="B102" s="349" t="s">
        <v>1731</v>
      </c>
      <c r="C102" s="381" t="s">
        <v>2011</v>
      </c>
      <c r="D102" s="382"/>
      <c r="E102" s="382"/>
      <c r="F102" s="383"/>
    </row>
    <row r="103" spans="1:6" ht="25.5" customHeight="1">
      <c r="A103" s="349" t="s">
        <v>1969</v>
      </c>
      <c r="B103" s="349" t="s">
        <v>1732</v>
      </c>
      <c r="C103" s="381" t="s">
        <v>1733</v>
      </c>
      <c r="D103" s="382"/>
      <c r="E103" s="382"/>
      <c r="F103" s="383"/>
    </row>
    <row r="104" spans="1:6" ht="25.5" customHeight="1">
      <c r="A104" s="349" t="s">
        <v>1969</v>
      </c>
      <c r="B104" s="349" t="s">
        <v>1734</v>
      </c>
      <c r="C104" s="381" t="s">
        <v>1735</v>
      </c>
      <c r="D104" s="382"/>
      <c r="E104" s="382"/>
      <c r="F104" s="383"/>
    </row>
    <row r="105" spans="1:6" ht="25.5" customHeight="1">
      <c r="A105" s="349" t="s">
        <v>1969</v>
      </c>
      <c r="B105" s="349" t="s">
        <v>1736</v>
      </c>
      <c r="C105" s="381" t="s">
        <v>1737</v>
      </c>
      <c r="D105" s="382"/>
      <c r="E105" s="382"/>
      <c r="F105" s="383"/>
    </row>
    <row r="106" spans="1:6" ht="25.5" customHeight="1">
      <c r="A106" s="349" t="s">
        <v>1969</v>
      </c>
      <c r="B106" s="349" t="s">
        <v>1738</v>
      </c>
      <c r="C106" s="381" t="s">
        <v>1739</v>
      </c>
      <c r="D106" s="382"/>
      <c r="E106" s="382"/>
      <c r="F106" s="383"/>
    </row>
    <row r="107" spans="1:6" ht="25.5" customHeight="1">
      <c r="A107" s="349" t="s">
        <v>1969</v>
      </c>
      <c r="B107" s="349" t="s">
        <v>1740</v>
      </c>
      <c r="C107" s="381" t="s">
        <v>1741</v>
      </c>
      <c r="D107" s="382"/>
      <c r="E107" s="382"/>
      <c r="F107" s="383"/>
    </row>
    <row r="108" spans="1:6" ht="25.5" customHeight="1">
      <c r="A108" s="349" t="s">
        <v>1969</v>
      </c>
      <c r="B108" s="349" t="s">
        <v>1742</v>
      </c>
      <c r="C108" s="381" t="s">
        <v>1743</v>
      </c>
      <c r="D108" s="382"/>
      <c r="E108" s="382"/>
      <c r="F108" s="383"/>
    </row>
    <row r="109" spans="1:6" ht="25.5" customHeight="1">
      <c r="A109" s="341" t="s">
        <v>1969</v>
      </c>
      <c r="B109" s="341" t="s">
        <v>1744</v>
      </c>
      <c r="C109" s="378" t="s">
        <v>1745</v>
      </c>
      <c r="D109" s="379"/>
      <c r="E109" s="379"/>
      <c r="F109" s="380"/>
    </row>
    <row r="110" spans="1:6" ht="25.5" customHeight="1">
      <c r="A110" s="341" t="s">
        <v>1969</v>
      </c>
      <c r="B110" s="341" t="s">
        <v>1746</v>
      </c>
      <c r="C110" s="378" t="s">
        <v>1747</v>
      </c>
      <c r="D110" s="379"/>
      <c r="E110" s="379"/>
      <c r="F110" s="380"/>
    </row>
    <row r="111" spans="1:6" ht="25.5" customHeight="1">
      <c r="A111" s="341" t="s">
        <v>1969</v>
      </c>
      <c r="B111" s="341" t="s">
        <v>1748</v>
      </c>
      <c r="C111" s="378" t="s">
        <v>1749</v>
      </c>
      <c r="D111" s="379"/>
      <c r="E111" s="379"/>
      <c r="F111" s="380"/>
    </row>
    <row r="112" spans="1:6" ht="25.5" customHeight="1">
      <c r="A112" s="341" t="s">
        <v>1969</v>
      </c>
      <c r="B112" s="341" t="s">
        <v>1750</v>
      </c>
      <c r="C112" s="378" t="s">
        <v>1751</v>
      </c>
      <c r="D112" s="379"/>
      <c r="E112" s="379"/>
      <c r="F112" s="380"/>
    </row>
    <row r="113" spans="1:6" ht="25.5" customHeight="1">
      <c r="A113" s="341" t="s">
        <v>1969</v>
      </c>
      <c r="B113" s="341" t="s">
        <v>1752</v>
      </c>
      <c r="C113" s="378" t="s">
        <v>1753</v>
      </c>
      <c r="D113" s="379"/>
      <c r="E113" s="379"/>
      <c r="F113" s="380"/>
    </row>
    <row r="114" spans="1:6" ht="25.5" customHeight="1">
      <c r="A114" s="341" t="s">
        <v>1969</v>
      </c>
      <c r="B114" s="341" t="s">
        <v>1754</v>
      </c>
      <c r="C114" s="378" t="s">
        <v>1755</v>
      </c>
      <c r="D114" s="379"/>
      <c r="E114" s="379"/>
      <c r="F114" s="380"/>
    </row>
    <row r="115" spans="1:6" ht="25.5" customHeight="1">
      <c r="A115" s="341" t="s">
        <v>1969</v>
      </c>
      <c r="B115" s="341" t="s">
        <v>1756</v>
      </c>
      <c r="C115" s="378" t="s">
        <v>1757</v>
      </c>
      <c r="D115" s="379"/>
      <c r="E115" s="379"/>
      <c r="F115" s="380"/>
    </row>
    <row r="116" spans="1:6" ht="25.5" customHeight="1">
      <c r="A116" s="341" t="s">
        <v>1969</v>
      </c>
      <c r="B116" s="341" t="s">
        <v>1758</v>
      </c>
      <c r="C116" s="378" t="s">
        <v>1759</v>
      </c>
      <c r="D116" s="379"/>
      <c r="E116" s="379"/>
      <c r="F116" s="380"/>
    </row>
    <row r="117" spans="1:6" ht="38.25" customHeight="1">
      <c r="A117" s="341" t="s">
        <v>1969</v>
      </c>
      <c r="B117" s="341" t="s">
        <v>1760</v>
      </c>
      <c r="C117" s="378" t="s">
        <v>1761</v>
      </c>
      <c r="D117" s="379"/>
      <c r="E117" s="379"/>
      <c r="F117" s="380"/>
    </row>
    <row r="118" spans="1:6" ht="25.5" customHeight="1">
      <c r="A118" s="348" t="s">
        <v>1969</v>
      </c>
      <c r="B118" s="348" t="s">
        <v>1762</v>
      </c>
      <c r="C118" s="378" t="s">
        <v>1763</v>
      </c>
      <c r="D118" s="379"/>
      <c r="E118" s="379"/>
      <c r="F118" s="380"/>
    </row>
    <row r="119" spans="1:7" ht="25.5" customHeight="1">
      <c r="A119" s="341" t="s">
        <v>1969</v>
      </c>
      <c r="B119" s="341" t="s">
        <v>1764</v>
      </c>
      <c r="C119" s="378" t="s">
        <v>1765</v>
      </c>
      <c r="D119" s="379"/>
      <c r="E119" s="379"/>
      <c r="F119" s="380"/>
      <c r="G119" s="343"/>
    </row>
    <row r="120" spans="1:7" ht="25.5" customHeight="1">
      <c r="A120" s="353" t="s">
        <v>1969</v>
      </c>
      <c r="B120" s="341" t="s">
        <v>1425</v>
      </c>
      <c r="C120" s="378" t="s">
        <v>1766</v>
      </c>
      <c r="D120" s="379"/>
      <c r="E120" s="379"/>
      <c r="F120" s="380"/>
      <c r="G120" s="343"/>
    </row>
    <row r="121" spans="1:6" ht="12.75" customHeight="1">
      <c r="A121" s="384" t="s">
        <v>1767</v>
      </c>
      <c r="B121" s="385"/>
      <c r="C121" s="385"/>
      <c r="D121" s="385"/>
      <c r="E121" s="385"/>
      <c r="F121" s="386"/>
    </row>
    <row r="122" spans="1:6" ht="12.75" customHeight="1">
      <c r="A122" s="353" t="s">
        <v>1768</v>
      </c>
      <c r="B122" s="341" t="s">
        <v>1415</v>
      </c>
      <c r="C122" s="378" t="s">
        <v>1416</v>
      </c>
      <c r="D122" s="379"/>
      <c r="E122" s="379"/>
      <c r="F122" s="380"/>
    </row>
    <row r="123" spans="1:6" ht="12.75" customHeight="1">
      <c r="A123" s="353" t="s">
        <v>1768</v>
      </c>
      <c r="B123" s="341" t="s">
        <v>1401</v>
      </c>
      <c r="C123" s="378" t="s">
        <v>1581</v>
      </c>
      <c r="D123" s="379"/>
      <c r="E123" s="379"/>
      <c r="F123" s="380"/>
    </row>
    <row r="124" spans="1:6" s="347" customFormat="1" ht="12.75" customHeight="1">
      <c r="A124" s="353" t="s">
        <v>1768</v>
      </c>
      <c r="B124" s="344" t="s">
        <v>1412</v>
      </c>
      <c r="C124" s="378" t="s">
        <v>1426</v>
      </c>
      <c r="D124" s="379"/>
      <c r="E124" s="379"/>
      <c r="F124" s="380"/>
    </row>
    <row r="125" spans="1:6" s="347" customFormat="1" ht="25.5" customHeight="1">
      <c r="A125" s="353" t="s">
        <v>1768</v>
      </c>
      <c r="B125" s="349" t="s">
        <v>1427</v>
      </c>
      <c r="C125" s="381" t="s">
        <v>1769</v>
      </c>
      <c r="D125" s="382"/>
      <c r="E125" s="382"/>
      <c r="F125" s="383"/>
    </row>
    <row r="126" spans="1:6" s="347" customFormat="1" ht="25.5" customHeight="1">
      <c r="A126" s="353" t="s">
        <v>1768</v>
      </c>
      <c r="B126" s="349" t="s">
        <v>1770</v>
      </c>
      <c r="C126" s="381" t="s">
        <v>1771</v>
      </c>
      <c r="D126" s="382"/>
      <c r="E126" s="382"/>
      <c r="F126" s="383"/>
    </row>
    <row r="127" spans="1:6" s="347" customFormat="1" ht="12.75" customHeight="1">
      <c r="A127" s="353" t="s">
        <v>1768</v>
      </c>
      <c r="B127" s="349" t="s">
        <v>1772</v>
      </c>
      <c r="C127" s="381" t="s">
        <v>1773</v>
      </c>
      <c r="D127" s="382"/>
      <c r="E127" s="382"/>
      <c r="F127" s="383"/>
    </row>
    <row r="128" spans="1:6" s="347" customFormat="1" ht="25.5" customHeight="1">
      <c r="A128" s="353" t="s">
        <v>1768</v>
      </c>
      <c r="B128" s="349" t="s">
        <v>1774</v>
      </c>
      <c r="C128" s="381" t="s">
        <v>1775</v>
      </c>
      <c r="D128" s="382"/>
      <c r="E128" s="382"/>
      <c r="F128" s="383"/>
    </row>
    <row r="129" spans="1:6" s="347" customFormat="1" ht="25.5" customHeight="1">
      <c r="A129" s="353" t="s">
        <v>1768</v>
      </c>
      <c r="B129" s="349" t="s">
        <v>1428</v>
      </c>
      <c r="C129" s="381" t="s">
        <v>1429</v>
      </c>
      <c r="D129" s="382"/>
      <c r="E129" s="382"/>
      <c r="F129" s="383"/>
    </row>
    <row r="130" spans="1:6" s="347" customFormat="1" ht="12.75" customHeight="1">
      <c r="A130" s="353" t="s">
        <v>1768</v>
      </c>
      <c r="B130" s="349" t="s">
        <v>1776</v>
      </c>
      <c r="C130" s="381" t="s">
        <v>1777</v>
      </c>
      <c r="D130" s="382"/>
      <c r="E130" s="382"/>
      <c r="F130" s="383"/>
    </row>
    <row r="131" spans="1:6" s="347" customFormat="1" ht="12.75" customHeight="1">
      <c r="A131" s="353" t="s">
        <v>1768</v>
      </c>
      <c r="B131" s="349" t="s">
        <v>1778</v>
      </c>
      <c r="C131" s="381" t="s">
        <v>1779</v>
      </c>
      <c r="D131" s="382"/>
      <c r="E131" s="382"/>
      <c r="F131" s="383"/>
    </row>
    <row r="132" spans="1:6" ht="12.75" customHeight="1">
      <c r="A132" s="353" t="s">
        <v>1768</v>
      </c>
      <c r="B132" s="341" t="s">
        <v>1780</v>
      </c>
      <c r="C132" s="378" t="s">
        <v>1781</v>
      </c>
      <c r="D132" s="379"/>
      <c r="E132" s="379"/>
      <c r="F132" s="380"/>
    </row>
    <row r="133" spans="1:6" s="347" customFormat="1" ht="25.5" customHeight="1">
      <c r="A133" s="353" t="s">
        <v>1768</v>
      </c>
      <c r="B133" s="349" t="s">
        <v>405</v>
      </c>
      <c r="C133" s="381" t="s">
        <v>1782</v>
      </c>
      <c r="D133" s="382"/>
      <c r="E133" s="382"/>
      <c r="F133" s="383"/>
    </row>
    <row r="134" spans="1:6" s="347" customFormat="1" ht="25.5" customHeight="1">
      <c r="A134" s="353" t="s">
        <v>1768</v>
      </c>
      <c r="B134" s="349" t="s">
        <v>1783</v>
      </c>
      <c r="C134" s="381" t="s">
        <v>1784</v>
      </c>
      <c r="D134" s="382"/>
      <c r="E134" s="382"/>
      <c r="F134" s="383"/>
    </row>
    <row r="135" spans="1:6" s="347" customFormat="1" ht="38.25" customHeight="1">
      <c r="A135" s="353" t="s">
        <v>1768</v>
      </c>
      <c r="B135" s="349" t="s">
        <v>406</v>
      </c>
      <c r="C135" s="381" t="s">
        <v>1785</v>
      </c>
      <c r="D135" s="382"/>
      <c r="E135" s="382"/>
      <c r="F135" s="383"/>
    </row>
    <row r="136" spans="1:6" s="347" customFormat="1" ht="12.75" customHeight="1">
      <c r="A136" s="353" t="s">
        <v>1768</v>
      </c>
      <c r="B136" s="349" t="s">
        <v>1786</v>
      </c>
      <c r="C136" s="381" t="s">
        <v>1787</v>
      </c>
      <c r="D136" s="382"/>
      <c r="E136" s="382"/>
      <c r="F136" s="383"/>
    </row>
    <row r="137" spans="1:7" ht="25.5" customHeight="1">
      <c r="A137" s="353" t="s">
        <v>1768</v>
      </c>
      <c r="B137" s="349" t="s">
        <v>1788</v>
      </c>
      <c r="C137" s="381" t="s">
        <v>1789</v>
      </c>
      <c r="D137" s="382"/>
      <c r="E137" s="382"/>
      <c r="F137" s="383"/>
      <c r="G137" s="343"/>
    </row>
    <row r="138" spans="1:7" ht="12.75" customHeight="1">
      <c r="A138" s="353" t="s">
        <v>1768</v>
      </c>
      <c r="B138" s="349" t="s">
        <v>407</v>
      </c>
      <c r="C138" s="381" t="s">
        <v>408</v>
      </c>
      <c r="D138" s="382"/>
      <c r="E138" s="382"/>
      <c r="F138" s="383"/>
      <c r="G138" s="343"/>
    </row>
    <row r="139" spans="1:7" ht="25.5" customHeight="1">
      <c r="A139" s="353" t="s">
        <v>1768</v>
      </c>
      <c r="B139" s="341" t="s">
        <v>993</v>
      </c>
      <c r="C139" s="378" t="s">
        <v>1681</v>
      </c>
      <c r="D139" s="379"/>
      <c r="E139" s="379"/>
      <c r="F139" s="380"/>
      <c r="G139" s="343"/>
    </row>
    <row r="140" spans="1:7" s="347" customFormat="1" ht="12.75" customHeight="1">
      <c r="A140" s="353" t="s">
        <v>1768</v>
      </c>
      <c r="B140" s="341" t="s">
        <v>409</v>
      </c>
      <c r="C140" s="378" t="s">
        <v>1424</v>
      </c>
      <c r="D140" s="379"/>
      <c r="E140" s="379"/>
      <c r="F140" s="380"/>
      <c r="G140" s="354"/>
    </row>
    <row r="141" spans="1:6" s="347" customFormat="1" ht="25.5" customHeight="1">
      <c r="A141" s="353" t="s">
        <v>1768</v>
      </c>
      <c r="B141" s="341" t="s">
        <v>1425</v>
      </c>
      <c r="C141" s="378" t="s">
        <v>1766</v>
      </c>
      <c r="D141" s="379"/>
      <c r="E141" s="379"/>
      <c r="F141" s="380"/>
    </row>
    <row r="142" spans="1:6" ht="12.75" customHeight="1">
      <c r="A142" s="384" t="s">
        <v>1790</v>
      </c>
      <c r="B142" s="385"/>
      <c r="C142" s="385"/>
      <c r="D142" s="385"/>
      <c r="E142" s="385"/>
      <c r="F142" s="386"/>
    </row>
    <row r="143" spans="1:7" ht="12.75" customHeight="1">
      <c r="A143" s="353" t="s">
        <v>1966</v>
      </c>
      <c r="B143" s="341" t="s">
        <v>1401</v>
      </c>
      <c r="C143" s="378" t="s">
        <v>1581</v>
      </c>
      <c r="D143" s="379"/>
      <c r="E143" s="379"/>
      <c r="F143" s="380"/>
      <c r="G143" s="343"/>
    </row>
    <row r="144" spans="1:7" ht="12.75" customHeight="1">
      <c r="A144" s="353" t="s">
        <v>1966</v>
      </c>
      <c r="B144" s="344" t="s">
        <v>1412</v>
      </c>
      <c r="C144" s="378" t="s">
        <v>1426</v>
      </c>
      <c r="D144" s="379"/>
      <c r="E144" s="379"/>
      <c r="F144" s="380"/>
      <c r="G144" s="343"/>
    </row>
    <row r="145" spans="1:7" ht="38.25" customHeight="1">
      <c r="A145" s="353" t="s">
        <v>1966</v>
      </c>
      <c r="B145" s="349" t="s">
        <v>410</v>
      </c>
      <c r="C145" s="381" t="s">
        <v>1791</v>
      </c>
      <c r="D145" s="382"/>
      <c r="E145" s="382"/>
      <c r="F145" s="383"/>
      <c r="G145" s="343"/>
    </row>
    <row r="146" spans="1:7" ht="25.5" customHeight="1">
      <c r="A146" s="353" t="s">
        <v>1966</v>
      </c>
      <c r="B146" s="341" t="s">
        <v>993</v>
      </c>
      <c r="C146" s="378" t="s">
        <v>1681</v>
      </c>
      <c r="D146" s="379"/>
      <c r="E146" s="379"/>
      <c r="F146" s="380"/>
      <c r="G146" s="343"/>
    </row>
    <row r="147" spans="1:7" ht="51" customHeight="1">
      <c r="A147" s="353" t="s">
        <v>1966</v>
      </c>
      <c r="B147" s="341" t="s">
        <v>1792</v>
      </c>
      <c r="C147" s="378" t="s">
        <v>1793</v>
      </c>
      <c r="D147" s="379"/>
      <c r="E147" s="379"/>
      <c r="F147" s="380"/>
      <c r="G147" s="343"/>
    </row>
    <row r="148" spans="1:7" ht="12.75" customHeight="1">
      <c r="A148" s="353" t="s">
        <v>1966</v>
      </c>
      <c r="B148" s="341" t="s">
        <v>409</v>
      </c>
      <c r="C148" s="378" t="s">
        <v>1424</v>
      </c>
      <c r="D148" s="379"/>
      <c r="E148" s="379"/>
      <c r="F148" s="380"/>
      <c r="G148" s="343"/>
    </row>
    <row r="149" spans="1:6" ht="25.5" customHeight="1">
      <c r="A149" s="353" t="s">
        <v>1966</v>
      </c>
      <c r="B149" s="341" t="s">
        <v>1425</v>
      </c>
      <c r="C149" s="378" t="s">
        <v>1766</v>
      </c>
      <c r="D149" s="379"/>
      <c r="E149" s="379"/>
      <c r="F149" s="380"/>
    </row>
    <row r="150" spans="1:7" ht="12.75" customHeight="1">
      <c r="A150" s="384" t="s">
        <v>1794</v>
      </c>
      <c r="B150" s="385"/>
      <c r="C150" s="385"/>
      <c r="D150" s="385"/>
      <c r="E150" s="385"/>
      <c r="F150" s="386"/>
      <c r="G150" s="343"/>
    </row>
    <row r="151" spans="1:6" ht="12.75" customHeight="1">
      <c r="A151" s="353" t="s">
        <v>1968</v>
      </c>
      <c r="B151" s="341" t="s">
        <v>1415</v>
      </c>
      <c r="C151" s="378" t="s">
        <v>1416</v>
      </c>
      <c r="D151" s="379"/>
      <c r="E151" s="379"/>
      <c r="F151" s="380"/>
    </row>
    <row r="152" spans="1:6" ht="12.75" customHeight="1">
      <c r="A152" s="353" t="s">
        <v>1968</v>
      </c>
      <c r="B152" s="341" t="s">
        <v>1401</v>
      </c>
      <c r="C152" s="378" t="s">
        <v>1581</v>
      </c>
      <c r="D152" s="379"/>
      <c r="E152" s="379"/>
      <c r="F152" s="380"/>
    </row>
    <row r="153" spans="1:6" ht="12.75" customHeight="1">
      <c r="A153" s="353" t="s">
        <v>1968</v>
      </c>
      <c r="B153" s="344" t="s">
        <v>1412</v>
      </c>
      <c r="C153" s="378" t="s">
        <v>1426</v>
      </c>
      <c r="D153" s="379"/>
      <c r="E153" s="379"/>
      <c r="F153" s="380"/>
    </row>
    <row r="154" spans="1:6" ht="25.5" customHeight="1">
      <c r="A154" s="353" t="s">
        <v>1968</v>
      </c>
      <c r="B154" s="341" t="s">
        <v>993</v>
      </c>
      <c r="C154" s="378" t="s">
        <v>1681</v>
      </c>
      <c r="D154" s="379"/>
      <c r="E154" s="379"/>
      <c r="F154" s="380"/>
    </row>
    <row r="155" spans="1:7" ht="25.5" customHeight="1">
      <c r="A155" s="353" t="s">
        <v>1968</v>
      </c>
      <c r="B155" s="341" t="s">
        <v>411</v>
      </c>
      <c r="C155" s="378" t="s">
        <v>412</v>
      </c>
      <c r="D155" s="379"/>
      <c r="E155" s="379"/>
      <c r="F155" s="380"/>
      <c r="G155" s="343"/>
    </row>
    <row r="156" spans="1:7" ht="12.75" customHeight="1">
      <c r="A156" s="353" t="s">
        <v>1968</v>
      </c>
      <c r="B156" s="341" t="s">
        <v>409</v>
      </c>
      <c r="C156" s="378" t="s">
        <v>1424</v>
      </c>
      <c r="D156" s="379"/>
      <c r="E156" s="379"/>
      <c r="F156" s="380"/>
      <c r="G156" s="343"/>
    </row>
    <row r="157" spans="1:7" ht="25.5" customHeight="1">
      <c r="A157" s="353" t="s">
        <v>1968</v>
      </c>
      <c r="B157" s="341" t="s">
        <v>1425</v>
      </c>
      <c r="C157" s="378" t="s">
        <v>1766</v>
      </c>
      <c r="D157" s="379"/>
      <c r="E157" s="379"/>
      <c r="F157" s="380"/>
      <c r="G157" s="343"/>
    </row>
    <row r="158" spans="1:7" ht="12.75" customHeight="1">
      <c r="A158" s="384" t="s">
        <v>1795</v>
      </c>
      <c r="B158" s="385"/>
      <c r="C158" s="385"/>
      <c r="D158" s="385"/>
      <c r="E158" s="385"/>
      <c r="F158" s="386"/>
      <c r="G158" s="343"/>
    </row>
    <row r="159" spans="1:7" ht="12.75" customHeight="1">
      <c r="A159" s="353" t="s">
        <v>1796</v>
      </c>
      <c r="B159" s="341" t="s">
        <v>1415</v>
      </c>
      <c r="C159" s="378" t="s">
        <v>1416</v>
      </c>
      <c r="D159" s="379"/>
      <c r="E159" s="379"/>
      <c r="F159" s="380"/>
      <c r="G159" s="343"/>
    </row>
    <row r="160" spans="1:7" ht="25.5" customHeight="1">
      <c r="A160" s="353" t="s">
        <v>1796</v>
      </c>
      <c r="B160" s="341" t="s">
        <v>1579</v>
      </c>
      <c r="C160" s="378" t="s">
        <v>1580</v>
      </c>
      <c r="D160" s="379"/>
      <c r="E160" s="379"/>
      <c r="F160" s="380"/>
      <c r="G160" s="343"/>
    </row>
    <row r="161" spans="1:7" ht="12.75" customHeight="1">
      <c r="A161" s="353" t="s">
        <v>1796</v>
      </c>
      <c r="B161" s="341" t="s">
        <v>1401</v>
      </c>
      <c r="C161" s="378" t="s">
        <v>1581</v>
      </c>
      <c r="D161" s="379"/>
      <c r="E161" s="379"/>
      <c r="F161" s="380"/>
      <c r="G161" s="343"/>
    </row>
    <row r="162" spans="1:7" ht="12.75" customHeight="1">
      <c r="A162" s="353" t="s">
        <v>1796</v>
      </c>
      <c r="B162" s="344" t="s">
        <v>1412</v>
      </c>
      <c r="C162" s="378" t="s">
        <v>1426</v>
      </c>
      <c r="D162" s="379"/>
      <c r="E162" s="379"/>
      <c r="F162" s="380"/>
      <c r="G162" s="343"/>
    </row>
    <row r="163" spans="1:6" ht="12.75" customHeight="1">
      <c r="A163" s="341" t="s">
        <v>1796</v>
      </c>
      <c r="B163" s="341" t="s">
        <v>409</v>
      </c>
      <c r="C163" s="378" t="s">
        <v>1424</v>
      </c>
      <c r="D163" s="379"/>
      <c r="E163" s="379"/>
      <c r="F163" s="380"/>
    </row>
    <row r="164" spans="1:6" ht="12.75" customHeight="1">
      <c r="A164" s="384" t="s">
        <v>1158</v>
      </c>
      <c r="B164" s="385"/>
      <c r="C164" s="385"/>
      <c r="D164" s="385"/>
      <c r="E164" s="385"/>
      <c r="F164" s="386"/>
    </row>
    <row r="165" spans="1:6" ht="12.75" customHeight="1">
      <c r="A165" s="355" t="s">
        <v>4</v>
      </c>
      <c r="B165" s="356" t="s">
        <v>1412</v>
      </c>
      <c r="C165" s="360" t="s">
        <v>1426</v>
      </c>
      <c r="D165" s="361"/>
      <c r="E165" s="361"/>
      <c r="F165" s="362"/>
    </row>
    <row r="166" spans="1:6" ht="51" customHeight="1">
      <c r="A166" s="357" t="s">
        <v>4</v>
      </c>
      <c r="B166" s="341" t="s">
        <v>1797</v>
      </c>
      <c r="C166" s="360" t="s">
        <v>1798</v>
      </c>
      <c r="D166" s="361"/>
      <c r="E166" s="361"/>
      <c r="F166" s="362"/>
    </row>
    <row r="167" spans="1:6" ht="12.75" customHeight="1">
      <c r="A167" s="375" t="s">
        <v>1799</v>
      </c>
      <c r="B167" s="376"/>
      <c r="C167" s="376"/>
      <c r="D167" s="376"/>
      <c r="E167" s="376"/>
      <c r="F167" s="377"/>
    </row>
    <row r="168" spans="1:7" ht="25.5" customHeight="1">
      <c r="A168" s="353" t="s">
        <v>575</v>
      </c>
      <c r="B168" s="344" t="s">
        <v>1286</v>
      </c>
      <c r="C168" s="378" t="s">
        <v>1394</v>
      </c>
      <c r="D168" s="379"/>
      <c r="E168" s="379"/>
      <c r="F168" s="380"/>
      <c r="G168" s="343"/>
    </row>
    <row r="169" spans="1:6" ht="38.25" customHeight="1">
      <c r="A169" s="341" t="s">
        <v>575</v>
      </c>
      <c r="B169" s="341" t="s">
        <v>1397</v>
      </c>
      <c r="C169" s="378" t="s">
        <v>413</v>
      </c>
      <c r="D169" s="379"/>
      <c r="E169" s="379"/>
      <c r="F169" s="380"/>
    </row>
    <row r="170" spans="1:7" ht="25.5" customHeight="1">
      <c r="A170" s="341" t="s">
        <v>575</v>
      </c>
      <c r="B170" s="341" t="s">
        <v>1800</v>
      </c>
      <c r="C170" s="378" t="s">
        <v>1801</v>
      </c>
      <c r="D170" s="379"/>
      <c r="E170" s="379"/>
      <c r="F170" s="380"/>
      <c r="G170" s="358"/>
    </row>
    <row r="171" spans="1:7" ht="12.75" customHeight="1">
      <c r="A171" s="341" t="s">
        <v>575</v>
      </c>
      <c r="B171" s="341" t="s">
        <v>1415</v>
      </c>
      <c r="C171" s="378" t="s">
        <v>1416</v>
      </c>
      <c r="D171" s="379"/>
      <c r="E171" s="379"/>
      <c r="F171" s="380"/>
      <c r="G171" s="358"/>
    </row>
    <row r="172" spans="1:7" ht="25.5" customHeight="1">
      <c r="A172" s="341" t="s">
        <v>575</v>
      </c>
      <c r="B172" s="341" t="s">
        <v>1579</v>
      </c>
      <c r="C172" s="378" t="s">
        <v>1580</v>
      </c>
      <c r="D172" s="379"/>
      <c r="E172" s="379"/>
      <c r="F172" s="380"/>
      <c r="G172" s="358"/>
    </row>
    <row r="173" spans="1:6" ht="12.75" customHeight="1">
      <c r="A173" s="341" t="s">
        <v>575</v>
      </c>
      <c r="B173" s="341" t="s">
        <v>1401</v>
      </c>
      <c r="C173" s="378" t="s">
        <v>1581</v>
      </c>
      <c r="D173" s="379"/>
      <c r="E173" s="379"/>
      <c r="F173" s="380"/>
    </row>
    <row r="174" spans="1:7" ht="51" customHeight="1">
      <c r="A174" s="353" t="s">
        <v>575</v>
      </c>
      <c r="B174" s="341" t="s">
        <v>1403</v>
      </c>
      <c r="C174" s="378" t="s">
        <v>1404</v>
      </c>
      <c r="D174" s="379"/>
      <c r="E174" s="379"/>
      <c r="F174" s="380"/>
      <c r="G174" s="343"/>
    </row>
    <row r="175" spans="1:7" ht="51" customHeight="1">
      <c r="A175" s="353" t="s">
        <v>575</v>
      </c>
      <c r="B175" s="341" t="s">
        <v>1405</v>
      </c>
      <c r="C175" s="378" t="s">
        <v>1406</v>
      </c>
      <c r="D175" s="379"/>
      <c r="E175" s="379"/>
      <c r="F175" s="380"/>
      <c r="G175" s="343"/>
    </row>
    <row r="176" spans="1:7" ht="51" customHeight="1">
      <c r="A176" s="353" t="s">
        <v>575</v>
      </c>
      <c r="B176" s="341" t="s">
        <v>1407</v>
      </c>
      <c r="C176" s="378" t="s">
        <v>1408</v>
      </c>
      <c r="D176" s="379"/>
      <c r="E176" s="379"/>
      <c r="F176" s="380"/>
      <c r="G176" s="343"/>
    </row>
    <row r="177" spans="1:7" ht="51" customHeight="1">
      <c r="A177" s="353" t="s">
        <v>575</v>
      </c>
      <c r="B177" s="341" t="s">
        <v>1409</v>
      </c>
      <c r="C177" s="378" t="s">
        <v>1410</v>
      </c>
      <c r="D177" s="379"/>
      <c r="E177" s="379"/>
      <c r="F177" s="380"/>
      <c r="G177" s="343"/>
    </row>
    <row r="178" spans="1:7" ht="25.5" customHeight="1">
      <c r="A178" s="353" t="s">
        <v>575</v>
      </c>
      <c r="B178" s="341" t="s">
        <v>1802</v>
      </c>
      <c r="C178" s="378" t="s">
        <v>1803</v>
      </c>
      <c r="D178" s="379"/>
      <c r="E178" s="379"/>
      <c r="F178" s="380"/>
      <c r="G178" s="343"/>
    </row>
    <row r="179" spans="1:7" ht="25.5" customHeight="1">
      <c r="A179" s="353" t="s">
        <v>575</v>
      </c>
      <c r="B179" s="341" t="s">
        <v>1804</v>
      </c>
      <c r="C179" s="378" t="s">
        <v>1805</v>
      </c>
      <c r="D179" s="379"/>
      <c r="E179" s="379"/>
      <c r="F179" s="380"/>
      <c r="G179" s="343"/>
    </row>
    <row r="180" spans="1:7" ht="12.75" customHeight="1">
      <c r="A180" s="353" t="s">
        <v>575</v>
      </c>
      <c r="B180" s="341" t="s">
        <v>1583</v>
      </c>
      <c r="C180" s="378" t="s">
        <v>1584</v>
      </c>
      <c r="D180" s="379"/>
      <c r="E180" s="379"/>
      <c r="F180" s="380"/>
      <c r="G180" s="343"/>
    </row>
    <row r="181" spans="1:6" s="347" customFormat="1" ht="12.75" customHeight="1">
      <c r="A181" s="341" t="s">
        <v>575</v>
      </c>
      <c r="B181" s="344" t="s">
        <v>1806</v>
      </c>
      <c r="C181" s="378" t="s">
        <v>1807</v>
      </c>
      <c r="D181" s="379"/>
      <c r="E181" s="379"/>
      <c r="F181" s="380"/>
    </row>
    <row r="182" spans="1:6" s="347" customFormat="1" ht="25.5" customHeight="1">
      <c r="A182" s="341" t="s">
        <v>575</v>
      </c>
      <c r="B182" s="341" t="s">
        <v>414</v>
      </c>
      <c r="C182" s="378" t="s">
        <v>1808</v>
      </c>
      <c r="D182" s="379"/>
      <c r="E182" s="379"/>
      <c r="F182" s="380"/>
    </row>
    <row r="183" spans="1:7" ht="38.25" customHeight="1">
      <c r="A183" s="353" t="s">
        <v>575</v>
      </c>
      <c r="B183" s="341" t="s">
        <v>1809</v>
      </c>
      <c r="C183" s="378" t="s">
        <v>1810</v>
      </c>
      <c r="D183" s="379"/>
      <c r="E183" s="379"/>
      <c r="F183" s="380"/>
      <c r="G183" s="343"/>
    </row>
    <row r="184" spans="1:6" s="347" customFormat="1" ht="25.5" customHeight="1">
      <c r="A184" s="341" t="s">
        <v>575</v>
      </c>
      <c r="B184" s="341" t="s">
        <v>1811</v>
      </c>
      <c r="C184" s="378" t="s">
        <v>1812</v>
      </c>
      <c r="D184" s="379"/>
      <c r="E184" s="379"/>
      <c r="F184" s="380"/>
    </row>
    <row r="185" spans="1:6" s="347" customFormat="1" ht="25.5" customHeight="1">
      <c r="A185" s="341" t="s">
        <v>575</v>
      </c>
      <c r="B185" s="341" t="s">
        <v>1813</v>
      </c>
      <c r="C185" s="378" t="s">
        <v>1814</v>
      </c>
      <c r="D185" s="379"/>
      <c r="E185" s="379"/>
      <c r="F185" s="380"/>
    </row>
    <row r="186" spans="1:7" ht="25.5" customHeight="1">
      <c r="A186" s="353" t="s">
        <v>575</v>
      </c>
      <c r="B186" s="341" t="s">
        <v>415</v>
      </c>
      <c r="C186" s="378" t="s">
        <v>416</v>
      </c>
      <c r="D186" s="379"/>
      <c r="E186" s="379"/>
      <c r="F186" s="380"/>
      <c r="G186" s="343"/>
    </row>
    <row r="187" spans="1:7" ht="25.5" customHeight="1">
      <c r="A187" s="353" t="s">
        <v>575</v>
      </c>
      <c r="B187" s="341" t="s">
        <v>1417</v>
      </c>
      <c r="C187" s="378" t="s">
        <v>1592</v>
      </c>
      <c r="D187" s="379"/>
      <c r="E187" s="379"/>
      <c r="F187" s="380"/>
      <c r="G187" s="343"/>
    </row>
    <row r="188" spans="1:6" s="347" customFormat="1" ht="12.75" customHeight="1">
      <c r="A188" s="341" t="s">
        <v>575</v>
      </c>
      <c r="B188" s="344" t="s">
        <v>1412</v>
      </c>
      <c r="C188" s="378" t="s">
        <v>1426</v>
      </c>
      <c r="D188" s="379"/>
      <c r="E188" s="379"/>
      <c r="F188" s="380"/>
    </row>
    <row r="189" spans="1:6" ht="12.75" customHeight="1">
      <c r="A189" s="341" t="s">
        <v>575</v>
      </c>
      <c r="B189" s="344" t="s">
        <v>1418</v>
      </c>
      <c r="C189" s="378" t="s">
        <v>874</v>
      </c>
      <c r="D189" s="379"/>
      <c r="E189" s="379"/>
      <c r="F189" s="380"/>
    </row>
    <row r="190" spans="1:6" ht="12.75" customHeight="1">
      <c r="A190" s="353" t="s">
        <v>575</v>
      </c>
      <c r="B190" s="359" t="s">
        <v>1815</v>
      </c>
      <c r="C190" s="378" t="s">
        <v>1816</v>
      </c>
      <c r="D190" s="379"/>
      <c r="E190" s="379"/>
      <c r="F190" s="380"/>
    </row>
    <row r="191" spans="1:6" s="347" customFormat="1" ht="38.25" customHeight="1">
      <c r="A191" s="349" t="s">
        <v>575</v>
      </c>
      <c r="B191" s="349" t="s">
        <v>1817</v>
      </c>
      <c r="C191" s="381" t="s">
        <v>1818</v>
      </c>
      <c r="D191" s="382"/>
      <c r="E191" s="382"/>
      <c r="F191" s="383"/>
    </row>
    <row r="192" spans="1:6" ht="12.75" customHeight="1">
      <c r="A192" s="341" t="s">
        <v>575</v>
      </c>
      <c r="B192" s="349" t="s">
        <v>1819</v>
      </c>
      <c r="C192" s="381" t="s">
        <v>1820</v>
      </c>
      <c r="D192" s="382"/>
      <c r="E192" s="382"/>
      <c r="F192" s="383"/>
    </row>
    <row r="193" spans="1:6" ht="25.5" customHeight="1">
      <c r="A193" s="341" t="s">
        <v>575</v>
      </c>
      <c r="B193" s="349" t="s">
        <v>417</v>
      </c>
      <c r="C193" s="381" t="s">
        <v>1821</v>
      </c>
      <c r="D193" s="382"/>
      <c r="E193" s="382"/>
      <c r="F193" s="383"/>
    </row>
    <row r="194" spans="1:6" ht="38.25" customHeight="1">
      <c r="A194" s="341" t="s">
        <v>575</v>
      </c>
      <c r="B194" s="341" t="s">
        <v>1597</v>
      </c>
      <c r="C194" s="378" t="s">
        <v>1598</v>
      </c>
      <c r="D194" s="379"/>
      <c r="E194" s="379"/>
      <c r="F194" s="380"/>
    </row>
    <row r="195" spans="1:7" ht="25.5" customHeight="1">
      <c r="A195" s="341" t="s">
        <v>575</v>
      </c>
      <c r="B195" s="341" t="s">
        <v>1822</v>
      </c>
      <c r="C195" s="378" t="s">
        <v>1823</v>
      </c>
      <c r="D195" s="379"/>
      <c r="E195" s="379"/>
      <c r="F195" s="380"/>
      <c r="G195" s="343"/>
    </row>
    <row r="196" spans="1:7" ht="51" customHeight="1">
      <c r="A196" s="341" t="s">
        <v>575</v>
      </c>
      <c r="B196" s="341" t="s">
        <v>1824</v>
      </c>
      <c r="C196" s="378" t="s">
        <v>1825</v>
      </c>
      <c r="D196" s="379"/>
      <c r="E196" s="379"/>
      <c r="F196" s="380"/>
      <c r="G196" s="343"/>
    </row>
    <row r="197" spans="1:7" ht="38.25" customHeight="1">
      <c r="A197" s="341" t="s">
        <v>575</v>
      </c>
      <c r="B197" s="341" t="s">
        <v>1826</v>
      </c>
      <c r="C197" s="378" t="s">
        <v>1827</v>
      </c>
      <c r="D197" s="379"/>
      <c r="E197" s="379"/>
      <c r="F197" s="380"/>
      <c r="G197" s="343"/>
    </row>
    <row r="198" spans="1:7" ht="25.5" customHeight="1">
      <c r="A198" s="341" t="s">
        <v>575</v>
      </c>
      <c r="B198" s="341" t="s">
        <v>1828</v>
      </c>
      <c r="C198" s="378" t="s">
        <v>1829</v>
      </c>
      <c r="D198" s="379"/>
      <c r="E198" s="379"/>
      <c r="F198" s="380"/>
      <c r="G198" s="343"/>
    </row>
    <row r="199" spans="1:7" ht="12.75" customHeight="1">
      <c r="A199" s="341" t="s">
        <v>575</v>
      </c>
      <c r="B199" s="349" t="s">
        <v>247</v>
      </c>
      <c r="C199" s="381" t="s">
        <v>248</v>
      </c>
      <c r="D199" s="382"/>
      <c r="E199" s="382"/>
      <c r="F199" s="383"/>
      <c r="G199" s="343"/>
    </row>
    <row r="200" spans="1:6" ht="25.5" customHeight="1">
      <c r="A200" s="341" t="s">
        <v>575</v>
      </c>
      <c r="B200" s="341" t="s">
        <v>251</v>
      </c>
      <c r="C200" s="378" t="s">
        <v>1676</v>
      </c>
      <c r="D200" s="379"/>
      <c r="E200" s="379"/>
      <c r="F200" s="380"/>
    </row>
    <row r="201" spans="1:6" ht="12.75" customHeight="1">
      <c r="A201" s="341" t="s">
        <v>575</v>
      </c>
      <c r="B201" s="349" t="s">
        <v>991</v>
      </c>
      <c r="C201" s="381" t="s">
        <v>992</v>
      </c>
      <c r="D201" s="382"/>
      <c r="E201" s="382"/>
      <c r="F201" s="383"/>
    </row>
    <row r="202" spans="1:6" ht="25.5" customHeight="1">
      <c r="A202" s="341" t="s">
        <v>575</v>
      </c>
      <c r="B202" s="341" t="s">
        <v>993</v>
      </c>
      <c r="C202" s="378" t="s">
        <v>1681</v>
      </c>
      <c r="D202" s="379"/>
      <c r="E202" s="379"/>
      <c r="F202" s="380"/>
    </row>
    <row r="203" spans="1:6" ht="38.25" customHeight="1">
      <c r="A203" s="341" t="s">
        <v>575</v>
      </c>
      <c r="B203" s="341" t="s">
        <v>1830</v>
      </c>
      <c r="C203" s="378" t="s">
        <v>1831</v>
      </c>
      <c r="D203" s="379"/>
      <c r="E203" s="379"/>
      <c r="F203" s="380"/>
    </row>
    <row r="204" spans="1:6" ht="12.75" customHeight="1">
      <c r="A204" s="341" t="s">
        <v>575</v>
      </c>
      <c r="B204" s="341" t="s">
        <v>994</v>
      </c>
      <c r="C204" s="378" t="s">
        <v>1682</v>
      </c>
      <c r="D204" s="379"/>
      <c r="E204" s="379"/>
      <c r="F204" s="380"/>
    </row>
    <row r="205" spans="1:6" ht="12.75" customHeight="1">
      <c r="A205" s="341" t="s">
        <v>575</v>
      </c>
      <c r="B205" s="341" t="s">
        <v>409</v>
      </c>
      <c r="C205" s="378" t="s">
        <v>418</v>
      </c>
      <c r="D205" s="379"/>
      <c r="E205" s="379"/>
      <c r="F205" s="380"/>
    </row>
    <row r="206" spans="1:7" ht="25.5" customHeight="1">
      <c r="A206" s="353" t="s">
        <v>575</v>
      </c>
      <c r="B206" s="341" t="s">
        <v>1425</v>
      </c>
      <c r="C206" s="378" t="s">
        <v>1766</v>
      </c>
      <c r="D206" s="379"/>
      <c r="E206" s="379"/>
      <c r="F206" s="380"/>
      <c r="G206" s="343"/>
    </row>
    <row r="207" spans="1:6" ht="25.5" customHeight="1">
      <c r="A207" s="357" t="s">
        <v>575</v>
      </c>
      <c r="B207" s="341" t="s">
        <v>1832</v>
      </c>
      <c r="C207" s="360" t="s">
        <v>1833</v>
      </c>
      <c r="D207" s="361"/>
      <c r="E207" s="361"/>
      <c r="F207" s="362"/>
    </row>
  </sheetData>
  <sheetProtection/>
  <mergeCells count="191">
    <mergeCell ref="C207:F207"/>
    <mergeCell ref="C202:F202"/>
    <mergeCell ref="C203:F203"/>
    <mergeCell ref="C204:F204"/>
    <mergeCell ref="C205:F205"/>
    <mergeCell ref="C197:F197"/>
    <mergeCell ref="C198:F198"/>
    <mergeCell ref="C199:F199"/>
    <mergeCell ref="C200:F200"/>
    <mergeCell ref="C187:F187"/>
    <mergeCell ref="C188:F188"/>
    <mergeCell ref="C201:F201"/>
    <mergeCell ref="C206:F206"/>
    <mergeCell ref="C191:F191"/>
    <mergeCell ref="C192:F192"/>
    <mergeCell ref="C193:F193"/>
    <mergeCell ref="C194:F194"/>
    <mergeCell ref="C195:F195"/>
    <mergeCell ref="C196:F196"/>
    <mergeCell ref="C189:F189"/>
    <mergeCell ref="C190:F190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73:F173"/>
    <mergeCell ref="C174:F174"/>
    <mergeCell ref="C175:F175"/>
    <mergeCell ref="C176:F176"/>
    <mergeCell ref="C163:F163"/>
    <mergeCell ref="A164:F164"/>
    <mergeCell ref="C165:F165"/>
    <mergeCell ref="C166:F166"/>
    <mergeCell ref="C159:F159"/>
    <mergeCell ref="C160:F160"/>
    <mergeCell ref="C177:F177"/>
    <mergeCell ref="C178:F178"/>
    <mergeCell ref="A167:F167"/>
    <mergeCell ref="C168:F168"/>
    <mergeCell ref="C169:F169"/>
    <mergeCell ref="C170:F170"/>
    <mergeCell ref="C171:F171"/>
    <mergeCell ref="C172:F172"/>
    <mergeCell ref="C161:F161"/>
    <mergeCell ref="C162:F162"/>
    <mergeCell ref="C149:F149"/>
    <mergeCell ref="A150:F150"/>
    <mergeCell ref="C151:F151"/>
    <mergeCell ref="C152:F152"/>
    <mergeCell ref="C155:F155"/>
    <mergeCell ref="C156:F156"/>
    <mergeCell ref="C157:F157"/>
    <mergeCell ref="A158:F158"/>
    <mergeCell ref="C139:F139"/>
    <mergeCell ref="C140:F140"/>
    <mergeCell ref="C153:F153"/>
    <mergeCell ref="C154:F154"/>
    <mergeCell ref="C143:F143"/>
    <mergeCell ref="C144:F144"/>
    <mergeCell ref="C145:F145"/>
    <mergeCell ref="C146:F146"/>
    <mergeCell ref="C147:F147"/>
    <mergeCell ref="C148:F148"/>
    <mergeCell ref="C141:F141"/>
    <mergeCell ref="A142:F142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25:F125"/>
    <mergeCell ref="C126:F126"/>
    <mergeCell ref="C127:F127"/>
    <mergeCell ref="C128:F128"/>
    <mergeCell ref="C115:F115"/>
    <mergeCell ref="C116:F116"/>
    <mergeCell ref="C117:F117"/>
    <mergeCell ref="C118:F118"/>
    <mergeCell ref="C111:F111"/>
    <mergeCell ref="C112:F112"/>
    <mergeCell ref="C129:F129"/>
    <mergeCell ref="C130:F130"/>
    <mergeCell ref="C119:F119"/>
    <mergeCell ref="C120:F120"/>
    <mergeCell ref="A121:F121"/>
    <mergeCell ref="C122:F122"/>
    <mergeCell ref="C123:F123"/>
    <mergeCell ref="C124:F124"/>
    <mergeCell ref="C113:F113"/>
    <mergeCell ref="C114:F114"/>
    <mergeCell ref="C101:F101"/>
    <mergeCell ref="C102:F102"/>
    <mergeCell ref="C103:F103"/>
    <mergeCell ref="C104:F104"/>
    <mergeCell ref="C107:F107"/>
    <mergeCell ref="C108:F108"/>
    <mergeCell ref="C109:F109"/>
    <mergeCell ref="C110:F110"/>
    <mergeCell ref="C91:F91"/>
    <mergeCell ref="C92:F92"/>
    <mergeCell ref="C105:F105"/>
    <mergeCell ref="C106:F106"/>
    <mergeCell ref="C95:F95"/>
    <mergeCell ref="C96:F96"/>
    <mergeCell ref="C97:F97"/>
    <mergeCell ref="C98:F98"/>
    <mergeCell ref="C99:F99"/>
    <mergeCell ref="C100:F100"/>
    <mergeCell ref="C93:F93"/>
    <mergeCell ref="C94:F94"/>
    <mergeCell ref="C83:F83"/>
    <mergeCell ref="C84:F84"/>
    <mergeCell ref="C85:F85"/>
    <mergeCell ref="C86:F86"/>
    <mergeCell ref="C87:F87"/>
    <mergeCell ref="C88:F88"/>
    <mergeCell ref="C89:F89"/>
    <mergeCell ref="C90:F90"/>
    <mergeCell ref="C81:F81"/>
    <mergeCell ref="C82:F82"/>
    <mergeCell ref="C72:F72"/>
    <mergeCell ref="C73:F73"/>
    <mergeCell ref="C77:F77"/>
    <mergeCell ref="C78:F78"/>
    <mergeCell ref="C79:F79"/>
    <mergeCell ref="C80:F80"/>
    <mergeCell ref="C71:F71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59:F59"/>
    <mergeCell ref="C60:F60"/>
    <mergeCell ref="C61:F61"/>
    <mergeCell ref="C62:F62"/>
    <mergeCell ref="C63:F63"/>
    <mergeCell ref="C64:F64"/>
    <mergeCell ref="C51:F51"/>
    <mergeCell ref="C52:F52"/>
    <mergeCell ref="C53:F53"/>
    <mergeCell ref="C54:F54"/>
    <mergeCell ref="C55:F55"/>
    <mergeCell ref="C56:F56"/>
    <mergeCell ref="C31:F31"/>
    <mergeCell ref="C32:F32"/>
    <mergeCell ref="C33:F33"/>
    <mergeCell ref="C34:F34"/>
    <mergeCell ref="C57:F57"/>
    <mergeCell ref="C58:F58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25:F25"/>
    <mergeCell ref="C26:F26"/>
    <mergeCell ref="C27:F27"/>
    <mergeCell ref="C28:F28"/>
    <mergeCell ref="A45:F45"/>
    <mergeCell ref="C46:F46"/>
    <mergeCell ref="C35:F35"/>
    <mergeCell ref="C36:F36"/>
    <mergeCell ref="C37:F37"/>
    <mergeCell ref="C38:F38"/>
    <mergeCell ref="C29:F29"/>
    <mergeCell ref="C30:F30"/>
    <mergeCell ref="A21:F21"/>
    <mergeCell ref="C22:F22"/>
    <mergeCell ref="D11:F11"/>
    <mergeCell ref="A17:F17"/>
    <mergeCell ref="A18:F18"/>
    <mergeCell ref="C20:F20"/>
    <mergeCell ref="C23:F23"/>
    <mergeCell ref="C24:F24"/>
  </mergeCells>
  <printOptions/>
  <pageMargins left="0.75" right="0.75" top="1" bottom="1" header="0.5" footer="0.5"/>
  <pageSetup firstPageNumber="1" useFirstPageNumber="1" horizontalDpi="600" verticalDpi="600" orientation="portrait" paperSize="9" scale="75" r:id="rId1"/>
  <headerFooter alignWithMargins="0">
    <oddFooter>&amp;R&amp;P</oddFooter>
  </headerFooter>
  <rowBreaks count="1" manualBreakCount="1">
    <brk id="2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243"/>
  <sheetViews>
    <sheetView view="pageLayout" zoomScaleNormal="115" workbookViewId="0" topLeftCell="A1">
      <selection activeCell="B4" sqref="B4"/>
    </sheetView>
  </sheetViews>
  <sheetFormatPr defaultColWidth="8.375" defaultRowHeight="12.75"/>
  <cols>
    <col min="1" max="1" width="62.00390625" style="209" customWidth="1"/>
    <col min="2" max="2" width="17.375" style="210" customWidth="1"/>
    <col min="3" max="3" width="12.375" style="211" bestFit="1" customWidth="1"/>
    <col min="4" max="4" width="8.375" style="209" hidden="1" customWidth="1"/>
    <col min="5" max="16384" width="8.375" style="209" customWidth="1"/>
  </cols>
  <sheetData>
    <row r="2" spans="2:3" ht="12.75">
      <c r="B2" s="8" t="s">
        <v>925</v>
      </c>
      <c r="C2"/>
    </row>
    <row r="3" spans="2:3" ht="12.75">
      <c r="B3" s="8" t="s">
        <v>1618</v>
      </c>
      <c r="C3"/>
    </row>
    <row r="4" spans="2:3" ht="12.75">
      <c r="B4" s="113" t="s">
        <v>2044</v>
      </c>
      <c r="C4" s="113"/>
    </row>
    <row r="6" spans="2:3" ht="12.75">
      <c r="B6" s="8" t="s">
        <v>925</v>
      </c>
      <c r="C6"/>
    </row>
    <row r="7" spans="2:3" ht="12.75">
      <c r="B7" s="8" t="s">
        <v>1618</v>
      </c>
      <c r="C7"/>
    </row>
    <row r="8" spans="2:3" ht="12.75">
      <c r="B8" s="113" t="s">
        <v>926</v>
      </c>
      <c r="C8" s="113"/>
    </row>
    <row r="9" ht="12.75">
      <c r="B9" s="8"/>
    </row>
    <row r="10" ht="10.5" customHeight="1"/>
    <row r="11" spans="1:3" ht="12.75" customHeight="1">
      <c r="A11" s="387" t="s">
        <v>927</v>
      </c>
      <c r="B11" s="387"/>
      <c r="C11" s="387"/>
    </row>
    <row r="12" ht="13.5" thickBot="1">
      <c r="C12" s="211" t="s">
        <v>1619</v>
      </c>
    </row>
    <row r="13" spans="1:3" ht="13.5" thickBot="1">
      <c r="A13" s="212" t="s">
        <v>928</v>
      </c>
      <c r="B13" s="213" t="s">
        <v>929</v>
      </c>
      <c r="C13" s="214" t="s">
        <v>1140</v>
      </c>
    </row>
    <row r="14" spans="1:3" s="218" customFormat="1" ht="15.75">
      <c r="A14" s="215" t="s">
        <v>930</v>
      </c>
      <c r="B14" s="216" t="s">
        <v>931</v>
      </c>
      <c r="C14" s="217">
        <f>C15+C23+C39+C50+C55+C70+C86+C92+C97+C110+C135</f>
        <v>3418329.2867900007</v>
      </c>
    </row>
    <row r="15" spans="1:3" ht="15.75">
      <c r="A15" s="219" t="s">
        <v>932</v>
      </c>
      <c r="B15" s="220" t="s">
        <v>933</v>
      </c>
      <c r="C15" s="221">
        <f>C18+C16</f>
        <v>1796557.127</v>
      </c>
    </row>
    <row r="16" spans="1:3" ht="15.75">
      <c r="A16" s="3" t="s">
        <v>934</v>
      </c>
      <c r="B16" s="220" t="s">
        <v>935</v>
      </c>
      <c r="C16" s="221">
        <f>C17</f>
        <v>87000</v>
      </c>
    </row>
    <row r="17" spans="1:3" ht="24">
      <c r="A17" s="118" t="s">
        <v>936</v>
      </c>
      <c r="B17" s="220" t="s">
        <v>937</v>
      </c>
      <c r="C17" s="222">
        <f>70000+10000+5000+2000</f>
        <v>87000</v>
      </c>
    </row>
    <row r="18" spans="1:3" ht="15.75">
      <c r="A18" s="3" t="s">
        <v>938</v>
      </c>
      <c r="B18" s="220" t="s">
        <v>939</v>
      </c>
      <c r="C18" s="221">
        <f>C19+C20+C21+C22</f>
        <v>1709557.127</v>
      </c>
    </row>
    <row r="19" spans="1:3" ht="49.5">
      <c r="A19" s="118" t="s">
        <v>940</v>
      </c>
      <c r="B19" s="220" t="s">
        <v>941</v>
      </c>
      <c r="C19" s="222">
        <f>1608000+2000+22075.9+1435.8+22373.8+8045.327+731.3+55+200+120+20</f>
        <v>1665057.127</v>
      </c>
    </row>
    <row r="20" spans="1:3" ht="69.75" customHeight="1">
      <c r="A20" s="223" t="s">
        <v>942</v>
      </c>
      <c r="B20" s="220" t="s">
        <v>943</v>
      </c>
      <c r="C20" s="221">
        <f>4000-2000</f>
        <v>2000</v>
      </c>
    </row>
    <row r="21" spans="1:3" ht="24">
      <c r="A21" s="224" t="s">
        <v>944</v>
      </c>
      <c r="B21" s="220" t="s">
        <v>945</v>
      </c>
      <c r="C21" s="222">
        <f>1500+4500+30000</f>
        <v>36000</v>
      </c>
    </row>
    <row r="22" spans="1:3" ht="13.5" customHeight="1">
      <c r="A22" s="219" t="s">
        <v>946</v>
      </c>
      <c r="B22" s="220" t="s">
        <v>947</v>
      </c>
      <c r="C22" s="221">
        <v>6500</v>
      </c>
    </row>
    <row r="23" spans="1:3" ht="13.5" customHeight="1">
      <c r="A23" s="219" t="s">
        <v>948</v>
      </c>
      <c r="B23" s="220" t="s">
        <v>949</v>
      </c>
      <c r="C23" s="221">
        <f>C32+C35+C24+C37</f>
        <v>408647.9</v>
      </c>
    </row>
    <row r="24" spans="1:3" ht="24.75">
      <c r="A24" s="225" t="s">
        <v>950</v>
      </c>
      <c r="B24" s="220" t="s">
        <v>951</v>
      </c>
      <c r="C24" s="221">
        <f>C25+C28+C31</f>
        <v>274950</v>
      </c>
    </row>
    <row r="25" spans="1:3" ht="24.75">
      <c r="A25" s="226" t="s">
        <v>952</v>
      </c>
      <c r="B25" s="220" t="s">
        <v>953</v>
      </c>
      <c r="C25" s="221">
        <f>C26+C27</f>
        <v>219000</v>
      </c>
    </row>
    <row r="26" spans="1:3" ht="24.75">
      <c r="A26" s="226" t="s">
        <v>952</v>
      </c>
      <c r="B26" s="220" t="s">
        <v>954</v>
      </c>
      <c r="C26" s="221">
        <f>95000+40000+2000+35000+30000+17000</f>
        <v>219000</v>
      </c>
    </row>
    <row r="27" spans="1:3" ht="27.75" customHeight="1">
      <c r="A27" s="226" t="s">
        <v>1287</v>
      </c>
      <c r="B27" s="220" t="s">
        <v>1288</v>
      </c>
      <c r="C27" s="221">
        <f>40000-40000</f>
        <v>0</v>
      </c>
    </row>
    <row r="28" spans="1:3" ht="27.75" customHeight="1">
      <c r="A28" s="226" t="s">
        <v>1289</v>
      </c>
      <c r="B28" s="220" t="s">
        <v>1290</v>
      </c>
      <c r="C28" s="221">
        <f>C29+C30</f>
        <v>39000</v>
      </c>
    </row>
    <row r="29" spans="1:3" ht="27.75" customHeight="1">
      <c r="A29" s="226" t="s">
        <v>1289</v>
      </c>
      <c r="B29" s="220" t="s">
        <v>1291</v>
      </c>
      <c r="C29" s="221">
        <f>25000+5000+7000+2000</f>
        <v>39000</v>
      </c>
    </row>
    <row r="30" spans="1:3" ht="36.75">
      <c r="A30" s="226" t="s">
        <v>1292</v>
      </c>
      <c r="B30" s="220" t="s">
        <v>1293</v>
      </c>
      <c r="C30" s="221">
        <f>10000-50-9950</f>
        <v>0</v>
      </c>
    </row>
    <row r="31" spans="1:3" ht="15.75">
      <c r="A31" s="226" t="s">
        <v>1294</v>
      </c>
      <c r="B31" s="220" t="s">
        <v>1295</v>
      </c>
      <c r="C31" s="221">
        <f>9950+7000</f>
        <v>16950</v>
      </c>
    </row>
    <row r="32" spans="1:3" ht="15.75">
      <c r="A32" s="3" t="s">
        <v>1296</v>
      </c>
      <c r="B32" s="220" t="s">
        <v>1297</v>
      </c>
      <c r="C32" s="222">
        <f>C33+C34</f>
        <v>130000</v>
      </c>
    </row>
    <row r="33" spans="1:3" ht="13.5" customHeight="1">
      <c r="A33" s="116" t="s">
        <v>1296</v>
      </c>
      <c r="B33" s="220" t="s">
        <v>1298</v>
      </c>
      <c r="C33" s="222">
        <f>139000+500+500-5000-5000</f>
        <v>130000</v>
      </c>
    </row>
    <row r="34" spans="1:3" ht="24.75" customHeight="1">
      <c r="A34" s="116" t="s">
        <v>1299</v>
      </c>
      <c r="B34" s="220" t="s">
        <v>1300</v>
      </c>
      <c r="C34" s="222">
        <f>1000-500-500</f>
        <v>0</v>
      </c>
    </row>
    <row r="35" spans="1:3" ht="19.5" customHeight="1">
      <c r="A35" s="3" t="s">
        <v>1301</v>
      </c>
      <c r="B35" s="220" t="s">
        <v>1302</v>
      </c>
      <c r="C35" s="222">
        <f>C36</f>
        <v>1597.9</v>
      </c>
    </row>
    <row r="36" spans="1:3" ht="15.75">
      <c r="A36" s="116" t="s">
        <v>1301</v>
      </c>
      <c r="B36" s="220" t="s">
        <v>1303</v>
      </c>
      <c r="C36" s="222">
        <f>60+1537.9</f>
        <v>1597.9</v>
      </c>
    </row>
    <row r="37" spans="1:3" ht="24.75">
      <c r="A37" s="225" t="s">
        <v>1304</v>
      </c>
      <c r="B37" s="220" t="s">
        <v>1305</v>
      </c>
      <c r="C37" s="221">
        <f>C38</f>
        <v>2100</v>
      </c>
    </row>
    <row r="38" spans="1:3" ht="24.75">
      <c r="A38" s="226" t="s">
        <v>1306</v>
      </c>
      <c r="B38" s="220" t="s">
        <v>1307</v>
      </c>
      <c r="C38" s="221">
        <f>50+2050</f>
        <v>2100</v>
      </c>
    </row>
    <row r="39" spans="1:3" ht="15.75">
      <c r="A39" s="219" t="s">
        <v>1308</v>
      </c>
      <c r="B39" s="227" t="s">
        <v>1309</v>
      </c>
      <c r="C39" s="221">
        <f>C40+C45+C42</f>
        <v>610700</v>
      </c>
    </row>
    <row r="40" spans="1:3" ht="14.25" customHeight="1">
      <c r="A40" s="228" t="s">
        <v>1310</v>
      </c>
      <c r="B40" s="220" t="s">
        <v>1311</v>
      </c>
      <c r="C40" s="221">
        <f>C41</f>
        <v>41200</v>
      </c>
    </row>
    <row r="41" spans="1:3" ht="24.75">
      <c r="A41" s="27" t="s">
        <v>1312</v>
      </c>
      <c r="B41" s="220" t="s">
        <v>1313</v>
      </c>
      <c r="C41" s="221">
        <f>24200+13000+4000</f>
        <v>41200</v>
      </c>
    </row>
    <row r="42" spans="1:3" ht="15.75">
      <c r="A42" s="229" t="s">
        <v>1314</v>
      </c>
      <c r="B42" s="220" t="s">
        <v>1315</v>
      </c>
      <c r="C42" s="221">
        <f>C43+C44</f>
        <v>83500</v>
      </c>
    </row>
    <row r="43" spans="1:3" ht="24.75">
      <c r="A43" s="62" t="s">
        <v>1316</v>
      </c>
      <c r="B43" s="220" t="s">
        <v>1317</v>
      </c>
      <c r="C43" s="221">
        <f>60000+9000+6000</f>
        <v>75000</v>
      </c>
    </row>
    <row r="44" spans="1:3" ht="24.75">
      <c r="A44" s="62" t="s">
        <v>1318</v>
      </c>
      <c r="B44" s="220" t="s">
        <v>1319</v>
      </c>
      <c r="C44" s="221">
        <f>5000+1500+2000</f>
        <v>8500</v>
      </c>
    </row>
    <row r="45" spans="1:3" ht="15.75">
      <c r="A45" s="228" t="s">
        <v>1320</v>
      </c>
      <c r="B45" s="220" t="s">
        <v>1321</v>
      </c>
      <c r="C45" s="221">
        <f>C46+C48</f>
        <v>486000</v>
      </c>
    </row>
    <row r="46" spans="1:3" ht="24.75">
      <c r="A46" s="219" t="s">
        <v>1322</v>
      </c>
      <c r="B46" s="220" t="s">
        <v>1323</v>
      </c>
      <c r="C46" s="221">
        <f>C47</f>
        <v>116000</v>
      </c>
    </row>
    <row r="47" spans="1:3" ht="36.75">
      <c r="A47" s="219" t="s">
        <v>1324</v>
      </c>
      <c r="B47" s="220" t="s">
        <v>1325</v>
      </c>
      <c r="C47" s="230">
        <f>52000+3000+10000+20000+5000+26000</f>
        <v>116000</v>
      </c>
    </row>
    <row r="48" spans="1:3" ht="24.75">
      <c r="A48" s="219" t="s">
        <v>1326</v>
      </c>
      <c r="B48" s="220" t="s">
        <v>1327</v>
      </c>
      <c r="C48" s="221">
        <f>C49</f>
        <v>370000</v>
      </c>
    </row>
    <row r="49" spans="1:3" ht="36.75">
      <c r="A49" s="219" t="s">
        <v>1328</v>
      </c>
      <c r="B49" s="220" t="s">
        <v>1329</v>
      </c>
      <c r="C49" s="221">
        <f>320000+20000+7000+5000+10000+8000</f>
        <v>370000</v>
      </c>
    </row>
    <row r="50" spans="1:3" ht="15.75">
      <c r="A50" s="219" t="s">
        <v>1330</v>
      </c>
      <c r="B50" s="220" t="s">
        <v>1331</v>
      </c>
      <c r="C50" s="221">
        <f>C51+C53</f>
        <v>18500</v>
      </c>
    </row>
    <row r="51" spans="1:3" ht="24.75">
      <c r="A51" s="219" t="s">
        <v>1332</v>
      </c>
      <c r="B51" s="220" t="s">
        <v>1333</v>
      </c>
      <c r="C51" s="221">
        <f>C52</f>
        <v>17700</v>
      </c>
    </row>
    <row r="52" spans="1:3" ht="24.75">
      <c r="A52" s="219" t="s">
        <v>1334</v>
      </c>
      <c r="B52" s="220" t="s">
        <v>1335</v>
      </c>
      <c r="C52" s="222">
        <v>17700</v>
      </c>
    </row>
    <row r="53" spans="1:3" ht="24.75">
      <c r="A53" s="219" t="s">
        <v>1336</v>
      </c>
      <c r="B53" s="220" t="s">
        <v>1337</v>
      </c>
      <c r="C53" s="221">
        <f>C54</f>
        <v>800</v>
      </c>
    </row>
    <row r="54" spans="1:3" ht="24.75" customHeight="1">
      <c r="A54" s="219" t="s">
        <v>1285</v>
      </c>
      <c r="B54" s="220" t="s">
        <v>1338</v>
      </c>
      <c r="C54" s="221">
        <v>800</v>
      </c>
    </row>
    <row r="55" spans="1:3" ht="24.75" customHeight="1" hidden="1">
      <c r="A55" s="219" t="s">
        <v>1339</v>
      </c>
      <c r="B55" s="220" t="s">
        <v>1340</v>
      </c>
      <c r="C55" s="222">
        <f>C56+C61+C63+C58</f>
        <v>0</v>
      </c>
    </row>
    <row r="56" spans="1:3" ht="15" customHeight="1" hidden="1">
      <c r="A56" s="4" t="s">
        <v>1341</v>
      </c>
      <c r="B56" s="220" t="s">
        <v>1342</v>
      </c>
      <c r="C56" s="221">
        <f>SUM(C57)</f>
        <v>0</v>
      </c>
    </row>
    <row r="57" spans="1:3" ht="15" customHeight="1" hidden="1">
      <c r="A57" s="4" t="s">
        <v>1343</v>
      </c>
      <c r="B57" s="220" t="s">
        <v>1344</v>
      </c>
      <c r="C57" s="221">
        <v>0</v>
      </c>
    </row>
    <row r="58" spans="1:3" ht="26.25" customHeight="1" hidden="1">
      <c r="A58" s="4" t="s">
        <v>1345</v>
      </c>
      <c r="B58" s="220" t="s">
        <v>1346</v>
      </c>
      <c r="C58" s="221">
        <f>SUM(C59)</f>
        <v>0</v>
      </c>
    </row>
    <row r="59" spans="1:3" ht="15.75" hidden="1">
      <c r="A59" s="4" t="s">
        <v>1347</v>
      </c>
      <c r="B59" s="220" t="s">
        <v>1348</v>
      </c>
      <c r="C59" s="221">
        <f>SUM(C60)</f>
        <v>0</v>
      </c>
    </row>
    <row r="60" spans="1:3" ht="13.5" customHeight="1" hidden="1">
      <c r="A60" s="4" t="s">
        <v>1349</v>
      </c>
      <c r="B60" s="220" t="s">
        <v>1350</v>
      </c>
      <c r="C60" s="221">
        <v>0</v>
      </c>
    </row>
    <row r="61" spans="1:3" ht="15.75" hidden="1">
      <c r="A61" s="219" t="s">
        <v>1351</v>
      </c>
      <c r="B61" s="220" t="s">
        <v>1352</v>
      </c>
      <c r="C61" s="221">
        <f>SUM(C62)</f>
        <v>0</v>
      </c>
    </row>
    <row r="62" spans="1:3" ht="12" customHeight="1" hidden="1">
      <c r="A62" s="219" t="s">
        <v>1353</v>
      </c>
      <c r="B62" s="220" t="s">
        <v>1354</v>
      </c>
      <c r="C62" s="221">
        <v>0</v>
      </c>
    </row>
    <row r="63" spans="1:3" ht="15.75" hidden="1">
      <c r="A63" s="219" t="s">
        <v>1480</v>
      </c>
      <c r="B63" s="227" t="s">
        <v>1481</v>
      </c>
      <c r="C63" s="221">
        <f>SUM(C64+C66+C68)</f>
        <v>0</v>
      </c>
    </row>
    <row r="64" spans="1:3" ht="27.75" customHeight="1" hidden="1">
      <c r="A64" s="4" t="s">
        <v>1482</v>
      </c>
      <c r="B64" s="227" t="s">
        <v>1483</v>
      </c>
      <c r="C64" s="221">
        <f>SUM(C65)</f>
        <v>0</v>
      </c>
    </row>
    <row r="65" spans="1:3" ht="15.75" hidden="1">
      <c r="A65" s="4" t="s">
        <v>1484</v>
      </c>
      <c r="B65" s="227" t="s">
        <v>1485</v>
      </c>
      <c r="C65" s="221">
        <v>0</v>
      </c>
    </row>
    <row r="66" spans="1:3" ht="36.75" hidden="1">
      <c r="A66" s="4" t="s">
        <v>1486</v>
      </c>
      <c r="B66" s="227" t="s">
        <v>1487</v>
      </c>
      <c r="C66" s="221">
        <f>SUM(C67)</f>
        <v>0</v>
      </c>
    </row>
    <row r="67" spans="1:3" ht="17.25" customHeight="1" hidden="1">
      <c r="A67" s="4" t="s">
        <v>1488</v>
      </c>
      <c r="B67" s="227" t="s">
        <v>1489</v>
      </c>
      <c r="C67" s="221">
        <v>0</v>
      </c>
    </row>
    <row r="68" spans="1:3" ht="15.75" hidden="1">
      <c r="A68" s="4" t="s">
        <v>1490</v>
      </c>
      <c r="B68" s="227" t="s">
        <v>1491</v>
      </c>
      <c r="C68" s="221">
        <f>SUM(C69)</f>
        <v>0</v>
      </c>
    </row>
    <row r="69" spans="1:3" ht="24.75" hidden="1">
      <c r="A69" s="4" t="s">
        <v>1492</v>
      </c>
      <c r="B69" s="227" t="s">
        <v>1493</v>
      </c>
      <c r="C69" s="221">
        <v>0</v>
      </c>
    </row>
    <row r="70" spans="1:3" ht="24.75">
      <c r="A70" s="4" t="s">
        <v>1494</v>
      </c>
      <c r="B70" s="227" t="s">
        <v>1495</v>
      </c>
      <c r="C70" s="221">
        <f>SUM(C71+C73+C80+C83)</f>
        <v>405122.80000000005</v>
      </c>
    </row>
    <row r="71" spans="1:3" ht="36.75">
      <c r="A71" s="4" t="s">
        <v>1496</v>
      </c>
      <c r="B71" s="227" t="s">
        <v>1497</v>
      </c>
      <c r="C71" s="221">
        <f>SUM(C72)</f>
        <v>1546.9</v>
      </c>
    </row>
    <row r="72" spans="1:3" ht="36.75">
      <c r="A72" s="4" t="s">
        <v>1394</v>
      </c>
      <c r="B72" s="227" t="s">
        <v>1286</v>
      </c>
      <c r="C72" s="221">
        <v>1546.9</v>
      </c>
    </row>
    <row r="73" spans="1:3" ht="58.5" customHeight="1">
      <c r="A73" s="4" t="s">
        <v>1498</v>
      </c>
      <c r="B73" s="227" t="s">
        <v>1499</v>
      </c>
      <c r="C73" s="222">
        <f>C74+C76+C78</f>
        <v>396200</v>
      </c>
    </row>
    <row r="74" spans="1:3" ht="39" customHeight="1">
      <c r="A74" s="219" t="s">
        <v>1500</v>
      </c>
      <c r="B74" s="231" t="s">
        <v>1501</v>
      </c>
      <c r="C74" s="221">
        <f>C75</f>
        <v>268200</v>
      </c>
    </row>
    <row r="75" spans="1:3" ht="48.75">
      <c r="A75" s="219" t="s">
        <v>1502</v>
      </c>
      <c r="B75" s="231" t="s">
        <v>1395</v>
      </c>
      <c r="C75" s="222">
        <f>173188+5012+30000+40000+20000</f>
        <v>268200</v>
      </c>
    </row>
    <row r="76" spans="1:3" ht="36.75" hidden="1">
      <c r="A76" s="232" t="s">
        <v>1013</v>
      </c>
      <c r="B76" s="220" t="s">
        <v>1014</v>
      </c>
      <c r="C76" s="221">
        <f>C77</f>
        <v>0</v>
      </c>
    </row>
    <row r="77" spans="1:3" ht="24.75" hidden="1">
      <c r="A77" s="219" t="s">
        <v>1905</v>
      </c>
      <c r="B77" s="220" t="s">
        <v>1396</v>
      </c>
      <c r="C77" s="221">
        <v>0</v>
      </c>
    </row>
    <row r="78" spans="1:3" ht="48.75">
      <c r="A78" s="219" t="s">
        <v>613</v>
      </c>
      <c r="B78" s="220" t="s">
        <v>614</v>
      </c>
      <c r="C78" s="221">
        <f>C79</f>
        <v>128000</v>
      </c>
    </row>
    <row r="79" spans="1:3" ht="36.75">
      <c r="A79" s="219" t="s">
        <v>413</v>
      </c>
      <c r="B79" s="220" t="s">
        <v>1397</v>
      </c>
      <c r="C79" s="221">
        <f>123000+5000</f>
        <v>128000</v>
      </c>
    </row>
    <row r="80" spans="1:3" ht="15.75">
      <c r="A80" s="219" t="s">
        <v>615</v>
      </c>
      <c r="B80" s="220" t="s">
        <v>616</v>
      </c>
      <c r="C80" s="221">
        <f>C81</f>
        <v>2475.9</v>
      </c>
    </row>
    <row r="81" spans="1:3" ht="36.75">
      <c r="A81" s="219" t="s">
        <v>617</v>
      </c>
      <c r="B81" s="220" t="s">
        <v>618</v>
      </c>
      <c r="C81" s="221">
        <f>C82</f>
        <v>2475.9</v>
      </c>
    </row>
    <row r="82" spans="1:3" ht="36.75">
      <c r="A82" s="219" t="s">
        <v>1399</v>
      </c>
      <c r="B82" s="220" t="s">
        <v>1398</v>
      </c>
      <c r="C82" s="222">
        <v>2475.9</v>
      </c>
    </row>
    <row r="83" spans="1:3" ht="48.75">
      <c r="A83" s="27" t="s">
        <v>619</v>
      </c>
      <c r="B83" s="220" t="s">
        <v>620</v>
      </c>
      <c r="C83" s="221">
        <f>C84</f>
        <v>4900</v>
      </c>
    </row>
    <row r="84" spans="1:3" ht="33" customHeight="1">
      <c r="A84" s="119" t="s">
        <v>621</v>
      </c>
      <c r="B84" s="220" t="s">
        <v>622</v>
      </c>
      <c r="C84" s="221">
        <f>SUM(C85)</f>
        <v>4900</v>
      </c>
    </row>
    <row r="85" spans="1:3" ht="48.75">
      <c r="A85" s="4" t="s">
        <v>623</v>
      </c>
      <c r="B85" s="220" t="s">
        <v>1400</v>
      </c>
      <c r="C85" s="221">
        <f>3900+1000</f>
        <v>4900</v>
      </c>
    </row>
    <row r="86" spans="1:3" ht="15.75">
      <c r="A86" s="233" t="s">
        <v>624</v>
      </c>
      <c r="B86" s="234" t="s">
        <v>625</v>
      </c>
      <c r="C86" s="221">
        <f>SUM(C87)</f>
        <v>4000</v>
      </c>
    </row>
    <row r="87" spans="1:3" ht="15.75">
      <c r="A87" s="219" t="s">
        <v>626</v>
      </c>
      <c r="B87" s="220" t="s">
        <v>627</v>
      </c>
      <c r="C87" s="221">
        <f>C88+C89+C90+C91</f>
        <v>4000</v>
      </c>
    </row>
    <row r="88" spans="1:3" ht="24.75">
      <c r="A88" s="219" t="s">
        <v>628</v>
      </c>
      <c r="B88" s="220" t="s">
        <v>629</v>
      </c>
      <c r="C88" s="221">
        <v>500</v>
      </c>
    </row>
    <row r="89" spans="1:3" ht="27" customHeight="1">
      <c r="A89" s="219" t="s">
        <v>630</v>
      </c>
      <c r="B89" s="220" t="s">
        <v>631</v>
      </c>
      <c r="C89" s="221">
        <v>150</v>
      </c>
    </row>
    <row r="90" spans="1:3" ht="15.75">
      <c r="A90" s="219" t="s">
        <v>632</v>
      </c>
      <c r="B90" s="220" t="s">
        <v>633</v>
      </c>
      <c r="C90" s="221">
        <v>1403</v>
      </c>
    </row>
    <row r="91" spans="1:3" ht="15.75">
      <c r="A91" s="219" t="s">
        <v>634</v>
      </c>
      <c r="B91" s="220" t="s">
        <v>635</v>
      </c>
      <c r="C91" s="221">
        <v>1947</v>
      </c>
    </row>
    <row r="92" spans="1:3" ht="24.75">
      <c r="A92" s="27" t="s">
        <v>1907</v>
      </c>
      <c r="B92" s="235" t="s">
        <v>1908</v>
      </c>
      <c r="C92" s="222">
        <f>C93+C95</f>
        <v>5779.39</v>
      </c>
    </row>
    <row r="93" spans="1:3" ht="17.25" customHeight="1">
      <c r="A93" s="27" t="s">
        <v>1909</v>
      </c>
      <c r="B93" s="236" t="s">
        <v>1910</v>
      </c>
      <c r="C93" s="222">
        <f>C94</f>
        <v>1487.5</v>
      </c>
    </row>
    <row r="94" spans="1:3" ht="27.75" customHeight="1">
      <c r="A94" s="27" t="s">
        <v>1416</v>
      </c>
      <c r="B94" s="236" t="s">
        <v>1415</v>
      </c>
      <c r="C94" s="222">
        <f>487.5+500+300+200</f>
        <v>1487.5</v>
      </c>
    </row>
    <row r="95" spans="1:3" ht="15.75">
      <c r="A95" s="27" t="s">
        <v>1911</v>
      </c>
      <c r="B95" s="236" t="s">
        <v>1912</v>
      </c>
      <c r="C95" s="222">
        <f>C96</f>
        <v>4291.89</v>
      </c>
    </row>
    <row r="96" spans="1:3" ht="15.75">
      <c r="A96" s="27" t="s">
        <v>1913</v>
      </c>
      <c r="B96" s="236" t="s">
        <v>1401</v>
      </c>
      <c r="C96" s="222">
        <f>88.1+77.2+345.4+445+3036.19+300</f>
        <v>4291.89</v>
      </c>
    </row>
    <row r="97" spans="1:3" ht="24.75">
      <c r="A97" s="219" t="s">
        <v>1914</v>
      </c>
      <c r="B97" s="220" t="s">
        <v>1915</v>
      </c>
      <c r="C97" s="221">
        <f>C98+C100+C107</f>
        <v>141529.07979</v>
      </c>
    </row>
    <row r="98" spans="1:3" ht="15.75">
      <c r="A98" s="219" t="s">
        <v>1916</v>
      </c>
      <c r="B98" s="220" t="s">
        <v>1917</v>
      </c>
      <c r="C98" s="221">
        <f>C99</f>
        <v>529.07979</v>
      </c>
    </row>
    <row r="99" spans="1:3" ht="13.5" customHeight="1">
      <c r="A99" s="219" t="s">
        <v>1918</v>
      </c>
      <c r="B99" s="220" t="s">
        <v>1402</v>
      </c>
      <c r="C99" s="221">
        <f>150+162.74+216.33979</f>
        <v>529.07979</v>
      </c>
    </row>
    <row r="100" spans="1:3" ht="48.75">
      <c r="A100" s="219" t="s">
        <v>1919</v>
      </c>
      <c r="B100" s="220" t="s">
        <v>1920</v>
      </c>
      <c r="C100" s="221">
        <f>C101+C104</f>
        <v>1000</v>
      </c>
    </row>
    <row r="101" spans="1:3" ht="50.25" customHeight="1">
      <c r="A101" s="27" t="s">
        <v>1921</v>
      </c>
      <c r="B101" s="236" t="s">
        <v>1922</v>
      </c>
      <c r="C101" s="222">
        <f>C102+C103</f>
        <v>1000</v>
      </c>
    </row>
    <row r="102" spans="1:3" ht="50.25" customHeight="1">
      <c r="A102" s="219" t="s">
        <v>1404</v>
      </c>
      <c r="B102" s="220" t="s">
        <v>1403</v>
      </c>
      <c r="C102" s="221">
        <v>0</v>
      </c>
    </row>
    <row r="103" spans="1:3" ht="45.75" customHeight="1">
      <c r="A103" s="219" t="s">
        <v>1408</v>
      </c>
      <c r="B103" s="220" t="s">
        <v>1407</v>
      </c>
      <c r="C103" s="221">
        <v>1000</v>
      </c>
    </row>
    <row r="104" spans="1:3" ht="46.5" customHeight="1" hidden="1">
      <c r="A104" s="219" t="s">
        <v>1923</v>
      </c>
      <c r="B104" s="220" t="s">
        <v>1924</v>
      </c>
      <c r="C104" s="221">
        <f>C105+C106</f>
        <v>0</v>
      </c>
    </row>
    <row r="105" spans="1:3" ht="39" customHeight="1" hidden="1">
      <c r="A105" s="219" t="s">
        <v>1406</v>
      </c>
      <c r="B105" s="220" t="s">
        <v>1405</v>
      </c>
      <c r="C105" s="221">
        <v>0</v>
      </c>
    </row>
    <row r="106" spans="1:3" ht="27.75" customHeight="1" hidden="1">
      <c r="A106" s="219" t="s">
        <v>1410</v>
      </c>
      <c r="B106" s="220" t="s">
        <v>1409</v>
      </c>
      <c r="C106" s="221">
        <v>0</v>
      </c>
    </row>
    <row r="107" spans="1:3" ht="41.25" customHeight="1">
      <c r="A107" s="237" t="s">
        <v>1925</v>
      </c>
      <c r="B107" s="220" t="s">
        <v>1926</v>
      </c>
      <c r="C107" s="221">
        <f>C108</f>
        <v>140000</v>
      </c>
    </row>
    <row r="108" spans="1:3" ht="24.75">
      <c r="A108" s="219" t="s">
        <v>1539</v>
      </c>
      <c r="B108" s="220" t="s">
        <v>1540</v>
      </c>
      <c r="C108" s="221">
        <f>C109</f>
        <v>140000</v>
      </c>
    </row>
    <row r="109" spans="1:3" ht="24.75">
      <c r="A109" s="219" t="s">
        <v>1541</v>
      </c>
      <c r="B109" s="220" t="s">
        <v>1411</v>
      </c>
      <c r="C109" s="221">
        <f>36000+64000+60870.3-20870.3</f>
        <v>140000</v>
      </c>
    </row>
    <row r="110" spans="1:3" ht="15.75">
      <c r="A110" s="219" t="s">
        <v>1836</v>
      </c>
      <c r="B110" s="220" t="s">
        <v>1837</v>
      </c>
      <c r="C110" s="221">
        <f>C111+C114+C116+C133+C115+C118+C125+C126+C127+C128+C130+C131</f>
        <v>18952.7</v>
      </c>
    </row>
    <row r="111" spans="1:3" ht="24.75">
      <c r="A111" s="219" t="s">
        <v>1838</v>
      </c>
      <c r="B111" s="220" t="s">
        <v>1839</v>
      </c>
      <c r="C111" s="221">
        <f>C112+C113</f>
        <v>700</v>
      </c>
    </row>
    <row r="112" spans="1:3" ht="65.25">
      <c r="A112" s="219" t="s">
        <v>1840</v>
      </c>
      <c r="B112" s="220" t="s">
        <v>1841</v>
      </c>
      <c r="C112" s="221">
        <f>350+100+150</f>
        <v>600</v>
      </c>
    </row>
    <row r="113" spans="1:3" ht="36">
      <c r="A113" s="168" t="s">
        <v>1842</v>
      </c>
      <c r="B113" s="220" t="s">
        <v>1843</v>
      </c>
      <c r="C113" s="221">
        <v>100</v>
      </c>
    </row>
    <row r="114" spans="1:3" ht="36.75">
      <c r="A114" s="219" t="s">
        <v>1844</v>
      </c>
      <c r="B114" s="220" t="s">
        <v>1845</v>
      </c>
      <c r="C114" s="221">
        <f>1800+1000-100</f>
        <v>2700</v>
      </c>
    </row>
    <row r="115" spans="1:3" ht="36.75">
      <c r="A115" s="219" t="s">
        <v>1846</v>
      </c>
      <c r="B115" s="220" t="s">
        <v>1847</v>
      </c>
      <c r="C115" s="221">
        <f>225+300+250</f>
        <v>775</v>
      </c>
    </row>
    <row r="116" spans="1:3" ht="15.75">
      <c r="A116" s="219" t="s">
        <v>1848</v>
      </c>
      <c r="B116" s="220" t="s">
        <v>1849</v>
      </c>
      <c r="C116" s="221">
        <f>SUM(C117)</f>
        <v>0</v>
      </c>
    </row>
    <row r="117" spans="1:3" ht="24.75">
      <c r="A117" s="219" t="s">
        <v>1850</v>
      </c>
      <c r="B117" s="220" t="s">
        <v>414</v>
      </c>
      <c r="C117" s="221"/>
    </row>
    <row r="118" spans="1:3" ht="47.25" customHeight="1">
      <c r="A118" s="219" t="s">
        <v>1851</v>
      </c>
      <c r="B118" s="220" t="s">
        <v>1852</v>
      </c>
      <c r="C118" s="221">
        <f>C119+C120+C121+C122+C123+C124</f>
        <v>500</v>
      </c>
    </row>
    <row r="119" spans="1:3" ht="15.75" hidden="1">
      <c r="A119" s="219" t="s">
        <v>1853</v>
      </c>
      <c r="B119" s="220" t="s">
        <v>1854</v>
      </c>
      <c r="C119" s="221"/>
    </row>
    <row r="120" spans="1:3" ht="24.75" hidden="1">
      <c r="A120" s="219" t="s">
        <v>1855</v>
      </c>
      <c r="B120" s="220" t="s">
        <v>1856</v>
      </c>
      <c r="C120" s="221">
        <f>2-2</f>
        <v>0</v>
      </c>
    </row>
    <row r="121" spans="1:3" ht="24.75" hidden="1">
      <c r="A121" s="219" t="s">
        <v>1857</v>
      </c>
      <c r="B121" s="220" t="s">
        <v>1858</v>
      </c>
      <c r="C121" s="221"/>
    </row>
    <row r="122" spans="1:3" ht="24.75">
      <c r="A122" s="219" t="s">
        <v>1859</v>
      </c>
      <c r="B122" s="220" t="s">
        <v>1860</v>
      </c>
      <c r="C122" s="221">
        <f>700-400</f>
        <v>300</v>
      </c>
    </row>
    <row r="123" spans="1:3" ht="15.75">
      <c r="A123" s="219" t="s">
        <v>1861</v>
      </c>
      <c r="B123" s="220" t="s">
        <v>1862</v>
      </c>
      <c r="C123" s="221">
        <f>100+100</f>
        <v>200</v>
      </c>
    </row>
    <row r="124" spans="1:3" ht="15.75" hidden="1">
      <c r="A124" s="219" t="s">
        <v>1863</v>
      </c>
      <c r="B124" s="220" t="s">
        <v>1864</v>
      </c>
      <c r="C124" s="221"/>
    </row>
    <row r="125" spans="1:3" ht="15.75" hidden="1">
      <c r="A125" s="219" t="s">
        <v>1865</v>
      </c>
      <c r="B125" s="220" t="s">
        <v>1866</v>
      </c>
      <c r="C125" s="221"/>
    </row>
    <row r="126" spans="1:3" ht="36.75">
      <c r="A126" s="219" t="s">
        <v>1867</v>
      </c>
      <c r="B126" s="220" t="s">
        <v>1868</v>
      </c>
      <c r="C126" s="221">
        <f>2500+1000-200</f>
        <v>3300</v>
      </c>
    </row>
    <row r="127" spans="1:3" ht="24.75" hidden="1">
      <c r="A127" s="219" t="s">
        <v>1869</v>
      </c>
      <c r="B127" s="220" t="s">
        <v>1870</v>
      </c>
      <c r="C127" s="221">
        <f>24000-24000</f>
        <v>0</v>
      </c>
    </row>
    <row r="128" spans="1:3" ht="36.75" hidden="1">
      <c r="A128" s="219" t="s">
        <v>1871</v>
      </c>
      <c r="B128" s="220" t="s">
        <v>1872</v>
      </c>
      <c r="C128" s="221">
        <f>C129</f>
        <v>0</v>
      </c>
    </row>
    <row r="129" spans="1:3" ht="36.75" hidden="1">
      <c r="A129" s="219" t="s">
        <v>416</v>
      </c>
      <c r="B129" s="220" t="s">
        <v>415</v>
      </c>
      <c r="C129" s="221">
        <v>0</v>
      </c>
    </row>
    <row r="130" spans="1:3" ht="36.75">
      <c r="A130" s="219" t="s">
        <v>1873</v>
      </c>
      <c r="B130" s="220" t="s">
        <v>1874</v>
      </c>
      <c r="C130" s="221">
        <f>167.2+200</f>
        <v>367.2</v>
      </c>
    </row>
    <row r="131" spans="1:3" ht="24.75">
      <c r="A131" s="219" t="s">
        <v>1875</v>
      </c>
      <c r="B131" s="220" t="s">
        <v>1876</v>
      </c>
      <c r="C131" s="221">
        <f>C132</f>
        <v>160.5</v>
      </c>
    </row>
    <row r="132" spans="1:3" ht="36.75">
      <c r="A132" s="219" t="s">
        <v>1877</v>
      </c>
      <c r="B132" s="220" t="s">
        <v>1878</v>
      </c>
      <c r="C132" s="221">
        <f>110.5+50</f>
        <v>160.5</v>
      </c>
    </row>
    <row r="133" spans="1:3" ht="24.75">
      <c r="A133" s="219" t="s">
        <v>1879</v>
      </c>
      <c r="B133" s="220" t="s">
        <v>1880</v>
      </c>
      <c r="C133" s="221">
        <f>SUM(C134)</f>
        <v>10450</v>
      </c>
    </row>
    <row r="134" spans="1:3" ht="24.75">
      <c r="A134" s="219" t="s">
        <v>1881</v>
      </c>
      <c r="B134" s="220" t="s">
        <v>1417</v>
      </c>
      <c r="C134" s="221">
        <f>9450+1000</f>
        <v>10450</v>
      </c>
    </row>
    <row r="135" spans="1:3" ht="15.75">
      <c r="A135" s="219" t="s">
        <v>1882</v>
      </c>
      <c r="B135" s="220" t="s">
        <v>1883</v>
      </c>
      <c r="C135" s="221">
        <f>C136+C138</f>
        <v>8540.29</v>
      </c>
    </row>
    <row r="136" spans="1:3" ht="15.75" hidden="1">
      <c r="A136" s="219" t="s">
        <v>1884</v>
      </c>
      <c r="B136" s="220" t="s">
        <v>1885</v>
      </c>
      <c r="C136" s="221">
        <f>C137</f>
        <v>0</v>
      </c>
    </row>
    <row r="137" spans="1:3" ht="15.75" hidden="1">
      <c r="A137" s="219" t="s">
        <v>1426</v>
      </c>
      <c r="B137" s="220" t="s">
        <v>1412</v>
      </c>
      <c r="C137" s="221">
        <v>0</v>
      </c>
    </row>
    <row r="138" spans="1:3" ht="15.75">
      <c r="A138" s="219" t="s">
        <v>909</v>
      </c>
      <c r="B138" s="220" t="s">
        <v>910</v>
      </c>
      <c r="C138" s="221">
        <f>SUM(C139)</f>
        <v>8540.29</v>
      </c>
    </row>
    <row r="139" spans="1:3" ht="15.75">
      <c r="A139" s="219" t="s">
        <v>874</v>
      </c>
      <c r="B139" s="220" t="s">
        <v>1418</v>
      </c>
      <c r="C139" s="221">
        <f>C140+C141</f>
        <v>8540.29</v>
      </c>
    </row>
    <row r="140" spans="1:3" ht="15.75">
      <c r="A140" s="4" t="s">
        <v>911</v>
      </c>
      <c r="B140" s="220" t="s">
        <v>1413</v>
      </c>
      <c r="C140" s="221">
        <f>6000+2540.29</f>
        <v>8540.29</v>
      </c>
    </row>
    <row r="141" spans="1:3" ht="36.75" hidden="1">
      <c r="A141" s="27" t="s">
        <v>912</v>
      </c>
      <c r="B141" s="220" t="s">
        <v>1414</v>
      </c>
      <c r="C141" s="221">
        <v>0</v>
      </c>
    </row>
    <row r="142" spans="1:3" ht="19.5" customHeight="1">
      <c r="A142" s="238" t="s">
        <v>913</v>
      </c>
      <c r="B142" s="239" t="s">
        <v>914</v>
      </c>
      <c r="C142" s="240">
        <f>C143+C205+C209</f>
        <v>1260821.5280000002</v>
      </c>
    </row>
    <row r="143" spans="1:3" ht="24.75">
      <c r="A143" s="219" t="s">
        <v>915</v>
      </c>
      <c r="B143" s="220" t="s">
        <v>916</v>
      </c>
      <c r="C143" s="241">
        <f>C146+C167+C196+C144</f>
        <v>1345302.2580000001</v>
      </c>
    </row>
    <row r="144" spans="1:3" ht="24.75" hidden="1">
      <c r="A144" s="219" t="s">
        <v>917</v>
      </c>
      <c r="B144" s="220" t="s">
        <v>199</v>
      </c>
      <c r="C144" s="241">
        <f>C145</f>
        <v>0</v>
      </c>
    </row>
    <row r="145" spans="1:3" ht="15.75" hidden="1">
      <c r="A145" s="219" t="s">
        <v>200</v>
      </c>
      <c r="B145" s="220" t="s">
        <v>201</v>
      </c>
      <c r="C145" s="221"/>
    </row>
    <row r="146" spans="1:3" ht="24.75">
      <c r="A146" s="225" t="s">
        <v>202</v>
      </c>
      <c r="B146" s="220" t="s">
        <v>203</v>
      </c>
      <c r="C146" s="241">
        <f>C151+C153+C157+C159+C161+C163+C165+C147+C155+C149</f>
        <v>216403.058</v>
      </c>
    </row>
    <row r="147" spans="1:3" ht="15.75">
      <c r="A147" s="219" t="s">
        <v>204</v>
      </c>
      <c r="B147" s="220" t="s">
        <v>205</v>
      </c>
      <c r="C147" s="241">
        <f>C148</f>
        <v>1856</v>
      </c>
    </row>
    <row r="148" spans="1:3" ht="15.75">
      <c r="A148" s="219" t="s">
        <v>206</v>
      </c>
      <c r="B148" s="220" t="s">
        <v>875</v>
      </c>
      <c r="C148" s="241">
        <v>1856</v>
      </c>
    </row>
    <row r="149" spans="1:3" ht="24.75">
      <c r="A149" s="219" t="s">
        <v>1560</v>
      </c>
      <c r="B149" s="220" t="s">
        <v>1561</v>
      </c>
      <c r="C149" s="241">
        <f>C150</f>
        <v>9700</v>
      </c>
    </row>
    <row r="150" spans="1:3" ht="24.75">
      <c r="A150" s="219" t="s">
        <v>1562</v>
      </c>
      <c r="B150" s="220" t="s">
        <v>1563</v>
      </c>
      <c r="C150" s="241">
        <f>3007+6693</f>
        <v>9700</v>
      </c>
    </row>
    <row r="151" spans="1:3" ht="28.5" customHeight="1" hidden="1">
      <c r="A151" s="219" t="s">
        <v>207</v>
      </c>
      <c r="B151" s="220" t="s">
        <v>208</v>
      </c>
      <c r="C151" s="241">
        <f>C152</f>
        <v>0</v>
      </c>
    </row>
    <row r="152" spans="1:3" ht="24.75" hidden="1">
      <c r="A152" s="219" t="s">
        <v>209</v>
      </c>
      <c r="B152" s="220" t="s">
        <v>1427</v>
      </c>
      <c r="C152" s="241">
        <v>0</v>
      </c>
    </row>
    <row r="153" spans="1:3" ht="36.75" hidden="1">
      <c r="A153" s="219" t="s">
        <v>210</v>
      </c>
      <c r="B153" s="220" t="s">
        <v>211</v>
      </c>
      <c r="C153" s="241">
        <f>C154</f>
        <v>0</v>
      </c>
    </row>
    <row r="154" spans="1:3" ht="24.75" hidden="1">
      <c r="A154" s="219" t="s">
        <v>212</v>
      </c>
      <c r="B154" s="220" t="s">
        <v>213</v>
      </c>
      <c r="C154" s="241">
        <v>0</v>
      </c>
    </row>
    <row r="155" spans="1:3" ht="39.75" customHeight="1" hidden="1">
      <c r="A155" s="219" t="s">
        <v>214</v>
      </c>
      <c r="B155" s="220" t="s">
        <v>215</v>
      </c>
      <c r="C155" s="241">
        <f>C156</f>
        <v>0</v>
      </c>
    </row>
    <row r="156" spans="1:3" ht="24.75" hidden="1">
      <c r="A156" s="219" t="s">
        <v>216</v>
      </c>
      <c r="B156" s="220" t="s">
        <v>417</v>
      </c>
      <c r="C156" s="241">
        <f>986-986</f>
        <v>0</v>
      </c>
    </row>
    <row r="157" spans="1:3" ht="48.75" customHeight="1" hidden="1">
      <c r="A157" s="219" t="s">
        <v>217</v>
      </c>
      <c r="B157" s="220" t="s">
        <v>218</v>
      </c>
      <c r="C157" s="241">
        <f>C158</f>
        <v>0</v>
      </c>
    </row>
    <row r="158" spans="1:3" ht="36.75" hidden="1">
      <c r="A158" s="219" t="s">
        <v>1009</v>
      </c>
      <c r="B158" s="220" t="s">
        <v>244</v>
      </c>
      <c r="C158" s="241"/>
    </row>
    <row r="159" spans="1:3" ht="60.75" hidden="1">
      <c r="A159" s="219" t="s">
        <v>1010</v>
      </c>
      <c r="B159" s="220" t="s">
        <v>1011</v>
      </c>
      <c r="C159" s="241">
        <f>C160</f>
        <v>0</v>
      </c>
    </row>
    <row r="160" spans="1:3" ht="48.75" hidden="1">
      <c r="A160" s="219" t="s">
        <v>1012</v>
      </c>
      <c r="B160" s="220" t="s">
        <v>245</v>
      </c>
      <c r="C160" s="241"/>
    </row>
    <row r="161" spans="1:3" ht="48.75" hidden="1">
      <c r="A161" s="219" t="s">
        <v>294</v>
      </c>
      <c r="B161" s="220" t="s">
        <v>295</v>
      </c>
      <c r="C161" s="241">
        <f>C162</f>
        <v>0</v>
      </c>
    </row>
    <row r="162" spans="1:3" ht="24.75" hidden="1">
      <c r="A162" s="219" t="s">
        <v>296</v>
      </c>
      <c r="B162" s="220" t="s">
        <v>246</v>
      </c>
      <c r="C162" s="241"/>
    </row>
    <row r="163" spans="1:3" ht="24.75" hidden="1">
      <c r="A163" s="219" t="s">
        <v>297</v>
      </c>
      <c r="B163" s="220" t="s">
        <v>298</v>
      </c>
      <c r="C163" s="241">
        <f>C164</f>
        <v>0</v>
      </c>
    </row>
    <row r="164" spans="1:3" ht="36.75" hidden="1">
      <c r="A164" s="219" t="s">
        <v>1429</v>
      </c>
      <c r="B164" s="220" t="s">
        <v>1428</v>
      </c>
      <c r="C164" s="241"/>
    </row>
    <row r="165" spans="1:3" ht="15.75">
      <c r="A165" s="219" t="s">
        <v>299</v>
      </c>
      <c r="B165" s="220" t="s">
        <v>300</v>
      </c>
      <c r="C165" s="241">
        <f>C166</f>
        <v>204847.058</v>
      </c>
    </row>
    <row r="166" spans="1:3" ht="15.75">
      <c r="A166" s="219" t="s">
        <v>248</v>
      </c>
      <c r="B166" s="220" t="s">
        <v>247</v>
      </c>
      <c r="C166" s="241">
        <f>237+791+5110+19807+147390+1015+2840.579+2221.479+5500-5000+1000+20042+3893</f>
        <v>204847.058</v>
      </c>
    </row>
    <row r="167" spans="1:3" ht="15.75">
      <c r="A167" s="225" t="s">
        <v>301</v>
      </c>
      <c r="B167" s="220" t="s">
        <v>302</v>
      </c>
      <c r="C167" s="241">
        <f>C172+C174+C176+C178+C180+C182+C194+C184+C186+C168+C188+C190+C170+C192</f>
        <v>1116399.2000000002</v>
      </c>
    </row>
    <row r="168" spans="1:3" ht="27" customHeight="1" hidden="1">
      <c r="A168" s="219" t="s">
        <v>303</v>
      </c>
      <c r="B168" s="220" t="s">
        <v>304</v>
      </c>
      <c r="C168" s="241">
        <f>C169</f>
        <v>0</v>
      </c>
    </row>
    <row r="169" spans="1:3" ht="24.75" hidden="1">
      <c r="A169" s="219" t="s">
        <v>1015</v>
      </c>
      <c r="B169" s="220" t="s">
        <v>1016</v>
      </c>
      <c r="C169" s="241"/>
    </row>
    <row r="170" spans="1:3" ht="36.75" hidden="1">
      <c r="A170" s="219" t="s">
        <v>1017</v>
      </c>
      <c r="B170" s="220" t="s">
        <v>1018</v>
      </c>
      <c r="C170" s="241">
        <f>C171</f>
        <v>0</v>
      </c>
    </row>
    <row r="171" spans="1:3" ht="36.75" hidden="1">
      <c r="A171" s="219" t="s">
        <v>1034</v>
      </c>
      <c r="B171" s="220" t="s">
        <v>249</v>
      </c>
      <c r="C171" s="241"/>
    </row>
    <row r="172" spans="1:3" ht="24.75">
      <c r="A172" s="219" t="s">
        <v>1035</v>
      </c>
      <c r="B172" s="220" t="s">
        <v>1036</v>
      </c>
      <c r="C172" s="241">
        <f>C173</f>
        <v>8724</v>
      </c>
    </row>
    <row r="173" spans="1:3" ht="24.75">
      <c r="A173" s="219" t="s">
        <v>1037</v>
      </c>
      <c r="B173" s="220" t="s">
        <v>405</v>
      </c>
      <c r="C173" s="241">
        <f>2181+6543</f>
        <v>8724</v>
      </c>
    </row>
    <row r="174" spans="1:3" ht="24.75">
      <c r="A174" s="219" t="s">
        <v>1038</v>
      </c>
      <c r="B174" s="220" t="s">
        <v>1039</v>
      </c>
      <c r="C174" s="241">
        <f>C175</f>
        <v>44260</v>
      </c>
    </row>
    <row r="175" spans="1:3" ht="24.75">
      <c r="A175" s="219" t="s">
        <v>1040</v>
      </c>
      <c r="B175" s="220" t="s">
        <v>250</v>
      </c>
      <c r="C175" s="241">
        <v>44260</v>
      </c>
    </row>
    <row r="176" spans="1:3" ht="24.75">
      <c r="A176" s="219" t="s">
        <v>1041</v>
      </c>
      <c r="B176" s="220" t="s">
        <v>1042</v>
      </c>
      <c r="C176" s="241">
        <f>C177</f>
        <v>159527</v>
      </c>
    </row>
    <row r="177" spans="1:3" ht="24.75">
      <c r="A177" s="219" t="s">
        <v>1936</v>
      </c>
      <c r="B177" s="220" t="s">
        <v>251</v>
      </c>
      <c r="C177" s="241">
        <f>684+29991+5870+1194+3811+104306+4792+5998+2881</f>
        <v>159527</v>
      </c>
    </row>
    <row r="178" spans="1:3" ht="48.75" hidden="1">
      <c r="A178" s="219" t="s">
        <v>1937</v>
      </c>
      <c r="B178" s="220" t="s">
        <v>1938</v>
      </c>
      <c r="C178" s="241">
        <f>C179</f>
        <v>0</v>
      </c>
    </row>
    <row r="179" spans="1:3" ht="48.75" hidden="1">
      <c r="A179" s="219" t="s">
        <v>1068</v>
      </c>
      <c r="B179" s="220" t="s">
        <v>252</v>
      </c>
      <c r="C179" s="241">
        <v>0</v>
      </c>
    </row>
    <row r="180" spans="1:3" ht="48.75">
      <c r="A180" s="219" t="s">
        <v>1069</v>
      </c>
      <c r="B180" s="220" t="s">
        <v>1070</v>
      </c>
      <c r="C180" s="241">
        <f>C181</f>
        <v>36141</v>
      </c>
    </row>
    <row r="181" spans="1:3" ht="48.75">
      <c r="A181" s="219" t="s">
        <v>1071</v>
      </c>
      <c r="B181" s="220" t="s">
        <v>406</v>
      </c>
      <c r="C181" s="241">
        <v>36141</v>
      </c>
    </row>
    <row r="182" spans="1:3" ht="36.75" hidden="1">
      <c r="A182" s="219" t="s">
        <v>1072</v>
      </c>
      <c r="B182" s="220" t="s">
        <v>1073</v>
      </c>
      <c r="C182" s="241">
        <f>C183</f>
        <v>0</v>
      </c>
    </row>
    <row r="183" spans="1:3" ht="36.75" hidden="1">
      <c r="A183" s="219" t="s">
        <v>1074</v>
      </c>
      <c r="B183" s="220" t="s">
        <v>410</v>
      </c>
      <c r="C183" s="222"/>
    </row>
    <row r="184" spans="1:3" ht="60.75">
      <c r="A184" s="219" t="s">
        <v>1075</v>
      </c>
      <c r="B184" s="220" t="s">
        <v>1076</v>
      </c>
      <c r="C184" s="241">
        <f>C185</f>
        <v>1758.6</v>
      </c>
    </row>
    <row r="185" spans="1:3" ht="60.75">
      <c r="A185" s="219" t="s">
        <v>1077</v>
      </c>
      <c r="B185" s="220" t="s">
        <v>988</v>
      </c>
      <c r="C185" s="241">
        <v>1758.6</v>
      </c>
    </row>
    <row r="186" spans="1:3" ht="48.75">
      <c r="A186" s="219" t="s">
        <v>1078</v>
      </c>
      <c r="B186" s="220" t="s">
        <v>2023</v>
      </c>
      <c r="C186" s="241">
        <f>C187</f>
        <v>10551.6</v>
      </c>
    </row>
    <row r="187" spans="1:3" ht="48.75">
      <c r="A187" s="219" t="s">
        <v>2024</v>
      </c>
      <c r="B187" s="220" t="s">
        <v>989</v>
      </c>
      <c r="C187" s="241">
        <f>2637.9+7913.7</f>
        <v>10551.6</v>
      </c>
    </row>
    <row r="188" spans="1:3" ht="24.75" customHeight="1">
      <c r="A188" s="219" t="s">
        <v>2025</v>
      </c>
      <c r="B188" s="220" t="s">
        <v>2026</v>
      </c>
      <c r="C188" s="241">
        <f>C189</f>
        <v>0</v>
      </c>
    </row>
    <row r="189" spans="1:3" ht="24.75">
      <c r="A189" s="219" t="s">
        <v>2027</v>
      </c>
      <c r="B189" s="220" t="s">
        <v>990</v>
      </c>
      <c r="C189" s="241"/>
    </row>
    <row r="190" spans="1:3" ht="12" customHeight="1">
      <c r="A190" s="219" t="s">
        <v>2028</v>
      </c>
      <c r="B190" s="220" t="s">
        <v>2029</v>
      </c>
      <c r="C190" s="241">
        <f>C191</f>
        <v>0</v>
      </c>
    </row>
    <row r="191" spans="1:3" ht="14.25" customHeight="1">
      <c r="A191" s="219" t="s">
        <v>408</v>
      </c>
      <c r="B191" s="220" t="s">
        <v>407</v>
      </c>
      <c r="C191" s="241"/>
    </row>
    <row r="192" spans="1:3" ht="36.75" customHeight="1">
      <c r="A192" s="219" t="s">
        <v>1450</v>
      </c>
      <c r="B192" s="220" t="s">
        <v>1451</v>
      </c>
      <c r="C192" s="241">
        <f>C193</f>
        <v>8842</v>
      </c>
    </row>
    <row r="193" spans="1:3" ht="36.75">
      <c r="A193" s="219" t="s">
        <v>1452</v>
      </c>
      <c r="B193" s="220" t="s">
        <v>1453</v>
      </c>
      <c r="C193" s="241">
        <v>8842</v>
      </c>
    </row>
    <row r="194" spans="1:3" ht="15.75">
      <c r="A194" s="27" t="s">
        <v>2030</v>
      </c>
      <c r="B194" s="220" t="s">
        <v>2031</v>
      </c>
      <c r="C194" s="222">
        <f>C195</f>
        <v>846595</v>
      </c>
    </row>
    <row r="195" spans="1:3" ht="15.75" hidden="1">
      <c r="A195" s="219" t="s">
        <v>992</v>
      </c>
      <c r="B195" s="220" t="s">
        <v>991</v>
      </c>
      <c r="C195" s="222">
        <f>22536+761+14781+747643+45705+15169</f>
        <v>846595</v>
      </c>
    </row>
    <row r="196" spans="1:3" ht="15.75" hidden="1">
      <c r="A196" s="27" t="s">
        <v>961</v>
      </c>
      <c r="B196" s="220" t="s">
        <v>2032</v>
      </c>
      <c r="C196" s="222">
        <f>C197+C201+C203+C199</f>
        <v>12500</v>
      </c>
    </row>
    <row r="197" spans="1:3" ht="48.75">
      <c r="A197" s="27" t="s">
        <v>2033</v>
      </c>
      <c r="B197" s="220" t="s">
        <v>2034</v>
      </c>
      <c r="C197" s="222">
        <f>C198</f>
        <v>0</v>
      </c>
    </row>
    <row r="198" spans="1:3" ht="48.75" hidden="1">
      <c r="A198" s="27" t="s">
        <v>2035</v>
      </c>
      <c r="B198" s="220" t="s">
        <v>2036</v>
      </c>
      <c r="C198" s="222"/>
    </row>
    <row r="199" spans="1:3" ht="36.75">
      <c r="A199" s="27" t="s">
        <v>2037</v>
      </c>
      <c r="B199" s="220" t="s">
        <v>2038</v>
      </c>
      <c r="C199" s="222">
        <f>C200</f>
        <v>12500</v>
      </c>
    </row>
    <row r="200" spans="1:3" ht="36.75">
      <c r="A200" s="27" t="s">
        <v>2037</v>
      </c>
      <c r="B200" s="220" t="s">
        <v>993</v>
      </c>
      <c r="C200" s="222">
        <f>11200+1300</f>
        <v>12500</v>
      </c>
    </row>
    <row r="201" spans="1:3" ht="14.25" customHeight="1" hidden="1">
      <c r="A201" s="27" t="s">
        <v>2039</v>
      </c>
      <c r="B201" s="220" t="s">
        <v>2040</v>
      </c>
      <c r="C201" s="222">
        <f>C202</f>
        <v>0</v>
      </c>
    </row>
    <row r="202" spans="1:3" ht="14.25" customHeight="1" hidden="1">
      <c r="A202" s="27" t="s">
        <v>412</v>
      </c>
      <c r="B202" s="220" t="s">
        <v>411</v>
      </c>
      <c r="C202" s="222"/>
    </row>
    <row r="203" spans="1:3" ht="15.75" hidden="1">
      <c r="A203" s="27" t="s">
        <v>2041</v>
      </c>
      <c r="B203" s="220" t="s">
        <v>2042</v>
      </c>
      <c r="C203" s="222">
        <f>C204</f>
        <v>0</v>
      </c>
    </row>
    <row r="204" spans="1:3" ht="15.75" hidden="1">
      <c r="A204" s="27" t="s">
        <v>1177</v>
      </c>
      <c r="B204" s="220" t="s">
        <v>994</v>
      </c>
      <c r="C204" s="222">
        <f>9241-9241</f>
        <v>0</v>
      </c>
    </row>
    <row r="205" spans="1:3" ht="15.75">
      <c r="A205" s="219" t="s">
        <v>1178</v>
      </c>
      <c r="B205" s="220" t="s">
        <v>1179</v>
      </c>
      <c r="C205" s="222">
        <f>C206</f>
        <v>2719</v>
      </c>
    </row>
    <row r="206" spans="1:3" ht="15.75">
      <c r="A206" s="219" t="s">
        <v>418</v>
      </c>
      <c r="B206" s="220" t="s">
        <v>409</v>
      </c>
      <c r="C206" s="222">
        <f>C207+C208</f>
        <v>2719</v>
      </c>
    </row>
    <row r="207" spans="1:3" ht="24.75">
      <c r="A207" s="27" t="s">
        <v>1198</v>
      </c>
      <c r="B207" s="220" t="s">
        <v>995</v>
      </c>
      <c r="C207" s="222">
        <v>126.1</v>
      </c>
    </row>
    <row r="208" spans="1:3" ht="27" customHeight="1">
      <c r="A208" s="27" t="s">
        <v>1424</v>
      </c>
      <c r="B208" s="220" t="s">
        <v>1423</v>
      </c>
      <c r="C208" s="222">
        <v>2592.9</v>
      </c>
    </row>
    <row r="209" spans="1:3" ht="36">
      <c r="A209" s="242" t="s">
        <v>1199</v>
      </c>
      <c r="B209" s="220" t="s">
        <v>1200</v>
      </c>
      <c r="C209" s="222">
        <f>C210</f>
        <v>-87199.73</v>
      </c>
    </row>
    <row r="210" spans="1:3" ht="24">
      <c r="A210" s="242" t="s">
        <v>1201</v>
      </c>
      <c r="B210" s="220" t="s">
        <v>1425</v>
      </c>
      <c r="C210" s="222">
        <f>-1195.8-303.8-77.2-83743-692.73-1187.2</f>
        <v>-87199.73</v>
      </c>
    </row>
    <row r="211" spans="1:3" ht="15.75">
      <c r="A211" s="243" t="s">
        <v>1202</v>
      </c>
      <c r="B211" s="220" t="s">
        <v>1203</v>
      </c>
      <c r="C211" s="244">
        <f>C14+C142</f>
        <v>4679150.814790001</v>
      </c>
    </row>
    <row r="212" ht="12.75">
      <c r="B212" s="245"/>
    </row>
    <row r="213" ht="12.75">
      <c r="B213" s="245"/>
    </row>
    <row r="214" ht="12.75">
      <c r="B214" s="245"/>
    </row>
    <row r="215" ht="12.75">
      <c r="B215" s="245"/>
    </row>
    <row r="216" ht="12.75">
      <c r="B216" s="245"/>
    </row>
    <row r="217" ht="12.75">
      <c r="B217" s="245"/>
    </row>
    <row r="218" ht="12.75">
      <c r="B218" s="245"/>
    </row>
    <row r="219" ht="12.75">
      <c r="B219" s="245"/>
    </row>
    <row r="220" ht="12.75">
      <c r="B220" s="245"/>
    </row>
    <row r="221" ht="12.75">
      <c r="B221" s="245"/>
    </row>
    <row r="222" ht="12.75">
      <c r="B222" s="245"/>
    </row>
    <row r="223" ht="12.75">
      <c r="B223" s="245"/>
    </row>
    <row r="224" ht="12.75">
      <c r="B224" s="245"/>
    </row>
    <row r="225" ht="12.75">
      <c r="B225" s="245"/>
    </row>
    <row r="226" ht="12.75">
      <c r="B226" s="245"/>
    </row>
    <row r="227" ht="12.75">
      <c r="B227" s="245"/>
    </row>
    <row r="228" ht="12.75">
      <c r="B228" s="245"/>
    </row>
    <row r="229" ht="12.75">
      <c r="B229" s="245"/>
    </row>
    <row r="230" ht="12.75">
      <c r="B230" s="245"/>
    </row>
    <row r="231" ht="12.75">
      <c r="B231" s="245"/>
    </row>
    <row r="232" ht="12.75">
      <c r="B232" s="245"/>
    </row>
    <row r="233" ht="12.75">
      <c r="B233" s="245"/>
    </row>
    <row r="234" ht="12.75">
      <c r="B234" s="245"/>
    </row>
    <row r="235" ht="12.75">
      <c r="B235" s="245"/>
    </row>
    <row r="236" ht="12.75">
      <c r="B236" s="245"/>
    </row>
    <row r="237" ht="12.75">
      <c r="B237" s="245"/>
    </row>
    <row r="238" ht="12.75">
      <c r="B238" s="245"/>
    </row>
    <row r="239" ht="12.75">
      <c r="B239" s="245"/>
    </row>
    <row r="240" ht="12.75">
      <c r="B240" s="245"/>
    </row>
    <row r="241" ht="12.75">
      <c r="B241" s="245"/>
    </row>
    <row r="242" ht="12.75">
      <c r="B242" s="245"/>
    </row>
    <row r="243" ht="12.75">
      <c r="B243" s="245"/>
    </row>
  </sheetData>
  <sheetProtection/>
  <mergeCells count="1">
    <mergeCell ref="A11:C11"/>
  </mergeCells>
  <dataValidations count="1">
    <dataValidation allowBlank="1" promptTitle="Расчетное значение" prompt="Считается автоматически" sqref="A11:C11 C10:C65536"/>
  </dataValidations>
  <printOptions/>
  <pageMargins left="0.75" right="0.75" top="1" bottom="1" header="0.5" footer="0.5"/>
  <pageSetup firstPageNumber="7" useFirstPageNumber="1" horizontalDpi="600" verticalDpi="600" orientation="portrait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1571"/>
  <sheetViews>
    <sheetView showGridLines="0" showZeros="0" zoomScaleSheetLayoutView="75" zoomScalePageLayoutView="0" workbookViewId="0" topLeftCell="A1">
      <selection activeCell="A9" sqref="A9:H9"/>
    </sheetView>
  </sheetViews>
  <sheetFormatPr defaultColWidth="9.375" defaultRowHeight="12.75"/>
  <cols>
    <col min="1" max="1" width="34.00390625" style="5" customWidth="1"/>
    <col min="2" max="3" width="3.375" style="6" customWidth="1"/>
    <col min="4" max="4" width="11.75390625" style="6" customWidth="1"/>
    <col min="5" max="5" width="3.375" style="6" customWidth="1"/>
    <col min="6" max="6" width="12.375" style="7" customWidth="1"/>
    <col min="7" max="7" width="12.375" style="9" customWidth="1"/>
    <col min="8" max="8" width="12.125" style="9" customWidth="1"/>
    <col min="9" max="9" width="15.125" style="69" hidden="1" customWidth="1"/>
    <col min="10" max="10" width="15.375" style="70" hidden="1" customWidth="1"/>
    <col min="11" max="11" width="6.125" style="69" customWidth="1"/>
    <col min="12" max="13" width="15.375" style="69" customWidth="1"/>
    <col min="14" max="21" width="9.375" style="69" customWidth="1"/>
    <col min="22" max="16384" width="9.375" style="9" customWidth="1"/>
  </cols>
  <sheetData>
    <row r="1" spans="7:8" ht="28.5" customHeight="1">
      <c r="G1" s="8" t="s">
        <v>744</v>
      </c>
      <c r="H1" s="66"/>
    </row>
    <row r="2" ht="15" customHeight="1">
      <c r="G2" s="8" t="s">
        <v>1618</v>
      </c>
    </row>
    <row r="3" spans="7:8" ht="13.5" customHeight="1">
      <c r="G3" s="113" t="s">
        <v>2045</v>
      </c>
      <c r="H3" s="102"/>
    </row>
    <row r="4" spans="7:8" ht="13.5" customHeight="1">
      <c r="G4" s="112"/>
      <c r="H4" s="112"/>
    </row>
    <row r="5" spans="7:8" ht="13.5" customHeight="1">
      <c r="G5" s="8" t="s">
        <v>744</v>
      </c>
      <c r="H5" s="66"/>
    </row>
    <row r="6" ht="14.25" customHeight="1">
      <c r="G6" s="8" t="s">
        <v>1618</v>
      </c>
    </row>
    <row r="7" spans="7:8" ht="13.5" customHeight="1">
      <c r="G7" s="102" t="s">
        <v>1120</v>
      </c>
      <c r="H7" s="102"/>
    </row>
    <row r="8" spans="7:8" ht="15" customHeight="1">
      <c r="G8" s="102"/>
      <c r="H8" s="102"/>
    </row>
    <row r="9" spans="1:8" ht="15.75" customHeight="1">
      <c r="A9" s="391" t="s">
        <v>489</v>
      </c>
      <c r="B9" s="392"/>
      <c r="C9" s="392"/>
      <c r="D9" s="392"/>
      <c r="E9" s="392"/>
      <c r="F9" s="392"/>
      <c r="G9" s="392"/>
      <c r="H9" s="392"/>
    </row>
    <row r="10" spans="1:8" ht="18.75" customHeight="1">
      <c r="A10" s="391" t="s">
        <v>757</v>
      </c>
      <c r="B10" s="393"/>
      <c r="C10" s="393"/>
      <c r="D10" s="393"/>
      <c r="E10" s="393"/>
      <c r="F10" s="393"/>
      <c r="G10" s="393"/>
      <c r="H10" s="393"/>
    </row>
    <row r="11" spans="1:8" ht="15">
      <c r="A11" s="390"/>
      <c r="B11" s="390"/>
      <c r="C11" s="390"/>
      <c r="D11" s="390"/>
      <c r="E11" s="390"/>
      <c r="F11" s="390"/>
      <c r="G11" s="390"/>
      <c r="H11" s="390"/>
    </row>
    <row r="12" spans="1:8" ht="12" customHeight="1" thickBot="1">
      <c r="A12" s="9"/>
      <c r="B12" s="10"/>
      <c r="C12" s="10"/>
      <c r="D12" s="10"/>
      <c r="E12" s="10"/>
      <c r="F12" s="10"/>
      <c r="G12" s="10"/>
      <c r="H12" s="11" t="s">
        <v>1619</v>
      </c>
    </row>
    <row r="13" spans="1:21" s="12" customFormat="1" ht="12" customHeight="1">
      <c r="A13" s="394" t="s">
        <v>2021</v>
      </c>
      <c r="B13" s="396" t="s">
        <v>1368</v>
      </c>
      <c r="C13" s="397"/>
      <c r="D13" s="397"/>
      <c r="E13" s="398"/>
      <c r="F13" s="399" t="s">
        <v>2022</v>
      </c>
      <c r="G13" s="401" t="s">
        <v>1139</v>
      </c>
      <c r="H13" s="402"/>
      <c r="I13" s="71"/>
      <c r="J13" s="7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s="12" customFormat="1" ht="75.75" customHeight="1" thickBot="1">
      <c r="A14" s="395"/>
      <c r="B14" s="104" t="s">
        <v>1620</v>
      </c>
      <c r="C14" s="104" t="s">
        <v>1621</v>
      </c>
      <c r="D14" s="104" t="s">
        <v>1622</v>
      </c>
      <c r="E14" s="104" t="s">
        <v>1623</v>
      </c>
      <c r="F14" s="400"/>
      <c r="G14" s="105" t="s">
        <v>1367</v>
      </c>
      <c r="H14" s="106" t="s">
        <v>725</v>
      </c>
      <c r="I14" s="71"/>
      <c r="J14" s="72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13" ht="24.75" customHeight="1">
      <c r="A15" s="150" t="s">
        <v>1146</v>
      </c>
      <c r="B15" s="151"/>
      <c r="C15" s="151"/>
      <c r="D15" s="151"/>
      <c r="E15" s="151"/>
      <c r="F15" s="152">
        <f>F16+F137+F143+F171+F263+F382+F395+F791+F906+F1090+F1264+F1333+F1343+F1348</f>
        <v>5088557.000000001</v>
      </c>
      <c r="G15" s="152">
        <f>G16+G137+G143+G171+G263+G382+G395+G791+G906+G1090+G1264+G1333+G1343+G1348</f>
        <v>3969150.7999999993</v>
      </c>
      <c r="H15" s="152">
        <f>H16+H137+H143+H171+H263+H382+H395+H791+H906+H1090+H1264+H1333+H1343+H1348</f>
        <v>1116399.2</v>
      </c>
      <c r="I15" s="108">
        <v>3464482</v>
      </c>
      <c r="J15" s="73">
        <f>I15-F15</f>
        <v>-1624075.000000001</v>
      </c>
      <c r="K15" s="74"/>
      <c r="L15" s="206">
        <v>5036862</v>
      </c>
      <c r="M15" s="74">
        <f>F15-L15</f>
        <v>51695.00000000093</v>
      </c>
    </row>
    <row r="16" spans="1:9" ht="25.5">
      <c r="A16" s="153" t="s">
        <v>432</v>
      </c>
      <c r="B16" s="19" t="s">
        <v>1624</v>
      </c>
      <c r="C16" s="19"/>
      <c r="D16" s="15"/>
      <c r="E16" s="15"/>
      <c r="F16" s="20">
        <f>F17+F22+F33+F57+F61+F72+F78+F82+F75</f>
        <v>491676.8</v>
      </c>
      <c r="G16" s="20">
        <f>G17+G22+G33+G57+G61+G72+G78+G82+G75</f>
        <v>474414.8</v>
      </c>
      <c r="H16" s="20">
        <f>H17+H22+H33+H57+H61+H72+H78+H82+H75</f>
        <v>17262</v>
      </c>
      <c r="I16" s="114"/>
    </row>
    <row r="17" spans="1:8" ht="48">
      <c r="A17" s="154" t="s">
        <v>597</v>
      </c>
      <c r="B17" s="15" t="s">
        <v>1624</v>
      </c>
      <c r="C17" s="52" t="s">
        <v>923</v>
      </c>
      <c r="D17" s="15"/>
      <c r="E17" s="15"/>
      <c r="F17" s="82">
        <f aca="true" t="shared" si="0" ref="F17:H18">F18</f>
        <v>2955.6</v>
      </c>
      <c r="G17" s="17">
        <f t="shared" si="0"/>
        <v>2955.6</v>
      </c>
      <c r="H17" s="82">
        <f t="shared" si="0"/>
        <v>0</v>
      </c>
    </row>
    <row r="18" spans="1:8" ht="46.5" customHeight="1">
      <c r="A18" s="30" t="s">
        <v>1542</v>
      </c>
      <c r="B18" s="52" t="s">
        <v>1624</v>
      </c>
      <c r="C18" s="52" t="s">
        <v>923</v>
      </c>
      <c r="D18" s="15" t="s">
        <v>1543</v>
      </c>
      <c r="E18" s="52"/>
      <c r="F18" s="82">
        <f t="shared" si="0"/>
        <v>2955.6</v>
      </c>
      <c r="G18" s="17">
        <f t="shared" si="0"/>
        <v>2955.6</v>
      </c>
      <c r="H18" s="82">
        <f t="shared" si="0"/>
        <v>0</v>
      </c>
    </row>
    <row r="19" spans="1:8" ht="24">
      <c r="A19" s="155" t="s">
        <v>1616</v>
      </c>
      <c r="B19" s="52" t="s">
        <v>1624</v>
      </c>
      <c r="C19" s="52" t="s">
        <v>923</v>
      </c>
      <c r="D19" s="15" t="s">
        <v>1050</v>
      </c>
      <c r="E19" s="52" t="s">
        <v>575</v>
      </c>
      <c r="F19" s="82">
        <f>F20+F21</f>
        <v>2955.6</v>
      </c>
      <c r="G19" s="82">
        <f>G20+G21</f>
        <v>2955.6</v>
      </c>
      <c r="H19" s="53"/>
    </row>
    <row r="20" spans="1:8" ht="24">
      <c r="A20" s="155" t="s">
        <v>382</v>
      </c>
      <c r="B20" s="52" t="s">
        <v>1624</v>
      </c>
      <c r="C20" s="52" t="s">
        <v>923</v>
      </c>
      <c r="D20" s="15" t="s">
        <v>1050</v>
      </c>
      <c r="E20" s="52" t="s">
        <v>383</v>
      </c>
      <c r="F20" s="53">
        <f>3119.6-328</f>
        <v>2791.6</v>
      </c>
      <c r="G20" s="17">
        <f>F20-H20</f>
        <v>2791.6</v>
      </c>
      <c r="H20" s="53"/>
    </row>
    <row r="21" spans="1:8" ht="24">
      <c r="A21" s="155" t="s">
        <v>384</v>
      </c>
      <c r="B21" s="52" t="s">
        <v>1624</v>
      </c>
      <c r="C21" s="52" t="s">
        <v>923</v>
      </c>
      <c r="D21" s="15" t="s">
        <v>1050</v>
      </c>
      <c r="E21" s="52" t="s">
        <v>385</v>
      </c>
      <c r="F21" s="53">
        <v>164</v>
      </c>
      <c r="G21" s="17">
        <f>F21-H21</f>
        <v>164</v>
      </c>
      <c r="H21" s="53"/>
    </row>
    <row r="22" spans="1:8" ht="48">
      <c r="A22" s="29" t="s">
        <v>140</v>
      </c>
      <c r="B22" s="15" t="s">
        <v>1624</v>
      </c>
      <c r="C22" s="15" t="s">
        <v>1653</v>
      </c>
      <c r="D22" s="15"/>
      <c r="E22" s="15"/>
      <c r="F22" s="17">
        <f>F23</f>
        <v>19227.600000000002</v>
      </c>
      <c r="G22" s="17">
        <f>G23</f>
        <v>19227.600000000002</v>
      </c>
      <c r="H22" s="17">
        <f>H23</f>
        <v>0</v>
      </c>
    </row>
    <row r="23" spans="1:8" ht="48">
      <c r="A23" s="30" t="s">
        <v>1542</v>
      </c>
      <c r="B23" s="15" t="s">
        <v>1624</v>
      </c>
      <c r="C23" s="15" t="s">
        <v>1653</v>
      </c>
      <c r="D23" s="15" t="s">
        <v>1543</v>
      </c>
      <c r="E23" s="15"/>
      <c r="F23" s="17">
        <f>F24+F31</f>
        <v>19227.600000000002</v>
      </c>
      <c r="G23" s="17">
        <f>G24+G31</f>
        <v>19227.600000000002</v>
      </c>
      <c r="H23" s="17">
        <f>SUM(H25:H31)</f>
        <v>0</v>
      </c>
    </row>
    <row r="24" spans="1:8" ht="24">
      <c r="A24" s="16" t="s">
        <v>500</v>
      </c>
      <c r="B24" s="15" t="s">
        <v>688</v>
      </c>
      <c r="C24" s="15" t="s">
        <v>1653</v>
      </c>
      <c r="D24" s="15" t="s">
        <v>229</v>
      </c>
      <c r="E24" s="15" t="s">
        <v>575</v>
      </c>
      <c r="F24" s="82">
        <f>F25+F26+F27+F30</f>
        <v>19212.7</v>
      </c>
      <c r="G24" s="17">
        <f aca="true" t="shared" si="1" ref="G24:G32">F24-H24</f>
        <v>19212.7</v>
      </c>
      <c r="H24" s="17"/>
    </row>
    <row r="25" spans="1:8" ht="24">
      <c r="A25" s="155" t="s">
        <v>382</v>
      </c>
      <c r="B25" s="15" t="s">
        <v>1624</v>
      </c>
      <c r="C25" s="15" t="s">
        <v>1653</v>
      </c>
      <c r="D25" s="15" t="s">
        <v>229</v>
      </c>
      <c r="E25" s="15" t="s">
        <v>383</v>
      </c>
      <c r="F25" s="18">
        <f>16930.2+1255.2</f>
        <v>18185.4</v>
      </c>
      <c r="G25" s="17">
        <f t="shared" si="1"/>
        <v>18185.4</v>
      </c>
      <c r="H25" s="18"/>
    </row>
    <row r="26" spans="1:8" ht="24.75" hidden="1">
      <c r="A26" s="155" t="s">
        <v>384</v>
      </c>
      <c r="B26" s="15" t="s">
        <v>1624</v>
      </c>
      <c r="C26" s="15" t="s">
        <v>1653</v>
      </c>
      <c r="D26" s="15" t="s">
        <v>229</v>
      </c>
      <c r="E26" s="15" t="s">
        <v>385</v>
      </c>
      <c r="F26" s="18"/>
      <c r="G26" s="17">
        <f t="shared" si="1"/>
        <v>0</v>
      </c>
      <c r="H26" s="18"/>
    </row>
    <row r="27" spans="1:8" ht="24">
      <c r="A27" s="155" t="s">
        <v>172</v>
      </c>
      <c r="B27" s="15" t="s">
        <v>1624</v>
      </c>
      <c r="C27" s="15" t="s">
        <v>1653</v>
      </c>
      <c r="D27" s="15" t="s">
        <v>229</v>
      </c>
      <c r="E27" s="15" t="s">
        <v>1644</v>
      </c>
      <c r="F27" s="17">
        <f>F28+F29</f>
        <v>945.8</v>
      </c>
      <c r="G27" s="17">
        <f t="shared" si="1"/>
        <v>945.8</v>
      </c>
      <c r="H27" s="18"/>
    </row>
    <row r="28" spans="1:8" ht="36">
      <c r="A28" s="155" t="s">
        <v>848</v>
      </c>
      <c r="B28" s="15" t="s">
        <v>1624</v>
      </c>
      <c r="C28" s="15" t="s">
        <v>1653</v>
      </c>
      <c r="D28" s="15" t="s">
        <v>229</v>
      </c>
      <c r="E28" s="15" t="s">
        <v>846</v>
      </c>
      <c r="F28" s="18">
        <v>416.3</v>
      </c>
      <c r="G28" s="17">
        <f t="shared" si="1"/>
        <v>416.3</v>
      </c>
      <c r="H28" s="18"/>
    </row>
    <row r="29" spans="1:8" ht="24">
      <c r="A29" s="155" t="s">
        <v>1535</v>
      </c>
      <c r="B29" s="15" t="s">
        <v>1624</v>
      </c>
      <c r="C29" s="15" t="s">
        <v>1653</v>
      </c>
      <c r="D29" s="15" t="s">
        <v>229</v>
      </c>
      <c r="E29" s="15" t="s">
        <v>1536</v>
      </c>
      <c r="F29" s="18">
        <v>529.5</v>
      </c>
      <c r="G29" s="17">
        <f t="shared" si="1"/>
        <v>529.5</v>
      </c>
      <c r="H29" s="18"/>
    </row>
    <row r="30" spans="1:8" ht="24">
      <c r="A30" s="16" t="s">
        <v>1020</v>
      </c>
      <c r="B30" s="15" t="s">
        <v>1624</v>
      </c>
      <c r="C30" s="15" t="s">
        <v>1653</v>
      </c>
      <c r="D30" s="15" t="s">
        <v>229</v>
      </c>
      <c r="E30" s="15" t="s">
        <v>1021</v>
      </c>
      <c r="F30" s="18">
        <f>60+21.5</f>
        <v>81.5</v>
      </c>
      <c r="G30" s="17">
        <f t="shared" si="1"/>
        <v>81.5</v>
      </c>
      <c r="H30" s="18"/>
    </row>
    <row r="31" spans="1:8" ht="24">
      <c r="A31" s="156" t="s">
        <v>1665</v>
      </c>
      <c r="B31" s="15" t="s">
        <v>1624</v>
      </c>
      <c r="C31" s="15" t="s">
        <v>1653</v>
      </c>
      <c r="D31" s="15" t="s">
        <v>1635</v>
      </c>
      <c r="E31" s="15" t="s">
        <v>575</v>
      </c>
      <c r="F31" s="17">
        <f>F32</f>
        <v>14.9</v>
      </c>
      <c r="G31" s="17">
        <f t="shared" si="1"/>
        <v>14.9</v>
      </c>
      <c r="H31" s="20"/>
    </row>
    <row r="32" spans="1:8" ht="24">
      <c r="A32" s="156" t="s">
        <v>1665</v>
      </c>
      <c r="B32" s="15" t="s">
        <v>1624</v>
      </c>
      <c r="C32" s="15" t="s">
        <v>1653</v>
      </c>
      <c r="D32" s="15" t="s">
        <v>1635</v>
      </c>
      <c r="E32" s="15" t="s">
        <v>1066</v>
      </c>
      <c r="F32" s="18">
        <v>14.9</v>
      </c>
      <c r="G32" s="17">
        <f t="shared" si="1"/>
        <v>14.9</v>
      </c>
      <c r="H32" s="20"/>
    </row>
    <row r="33" spans="1:8" ht="48">
      <c r="A33" s="29" t="s">
        <v>537</v>
      </c>
      <c r="B33" s="15" t="s">
        <v>1624</v>
      </c>
      <c r="C33" s="15" t="s">
        <v>439</v>
      </c>
      <c r="D33" s="15"/>
      <c r="E33" s="15"/>
      <c r="F33" s="17">
        <f>F34+F46</f>
        <v>254817.6</v>
      </c>
      <c r="G33" s="17">
        <f>G34</f>
        <v>237555.6</v>
      </c>
      <c r="H33" s="17">
        <f>H34+H46</f>
        <v>17262</v>
      </c>
    </row>
    <row r="34" spans="1:8" ht="24">
      <c r="A34" s="30" t="s">
        <v>499</v>
      </c>
      <c r="B34" s="15" t="s">
        <v>1624</v>
      </c>
      <c r="C34" s="15" t="s">
        <v>439</v>
      </c>
      <c r="D34" s="15" t="s">
        <v>1543</v>
      </c>
      <c r="E34" s="15"/>
      <c r="F34" s="17">
        <f>F35+F44</f>
        <v>237555.6</v>
      </c>
      <c r="G34" s="17">
        <f>G35+G44</f>
        <v>237555.6</v>
      </c>
      <c r="H34" s="17">
        <f>H35</f>
        <v>0</v>
      </c>
    </row>
    <row r="35" spans="1:8" ht="24">
      <c r="A35" s="16" t="s">
        <v>500</v>
      </c>
      <c r="B35" s="15" t="s">
        <v>1624</v>
      </c>
      <c r="C35" s="15" t="s">
        <v>439</v>
      </c>
      <c r="D35" s="15" t="s">
        <v>229</v>
      </c>
      <c r="E35" s="15" t="s">
        <v>575</v>
      </c>
      <c r="F35" s="17">
        <f>F36+F37+F38+F42+F43</f>
        <v>231936.4</v>
      </c>
      <c r="G35" s="17">
        <f aca="true" t="shared" si="2" ref="G35:G56">F35-H35</f>
        <v>231936.4</v>
      </c>
      <c r="H35" s="17">
        <f>H36+H37+H38+H42+H43</f>
        <v>0</v>
      </c>
    </row>
    <row r="36" spans="1:8" ht="24">
      <c r="A36" s="155" t="s">
        <v>382</v>
      </c>
      <c r="B36" s="15" t="s">
        <v>1624</v>
      </c>
      <c r="C36" s="15" t="s">
        <v>439</v>
      </c>
      <c r="D36" s="15" t="s">
        <v>229</v>
      </c>
      <c r="E36" s="15" t="s">
        <v>383</v>
      </c>
      <c r="F36" s="18">
        <f>187966+957+0.1</f>
        <v>188923.1</v>
      </c>
      <c r="G36" s="17">
        <f t="shared" si="2"/>
        <v>188923.1</v>
      </c>
      <c r="H36" s="18"/>
    </row>
    <row r="37" spans="1:8" ht="24">
      <c r="A37" s="16" t="s">
        <v>921</v>
      </c>
      <c r="B37" s="15" t="s">
        <v>1624</v>
      </c>
      <c r="C37" s="15" t="s">
        <v>439</v>
      </c>
      <c r="D37" s="15" t="s">
        <v>229</v>
      </c>
      <c r="E37" s="15" t="s">
        <v>385</v>
      </c>
      <c r="F37" s="18">
        <v>50</v>
      </c>
      <c r="G37" s="17">
        <f t="shared" si="2"/>
        <v>50</v>
      </c>
      <c r="H37" s="18"/>
    </row>
    <row r="38" spans="1:8" ht="24">
      <c r="A38" s="155" t="s">
        <v>172</v>
      </c>
      <c r="B38" s="15" t="s">
        <v>1624</v>
      </c>
      <c r="C38" s="15" t="s">
        <v>439</v>
      </c>
      <c r="D38" s="15" t="s">
        <v>229</v>
      </c>
      <c r="E38" s="15" t="s">
        <v>1644</v>
      </c>
      <c r="F38" s="17">
        <f>F39+F40+F41</f>
        <v>42953.299999999996</v>
      </c>
      <c r="G38" s="17">
        <f t="shared" si="2"/>
        <v>42953.299999999996</v>
      </c>
      <c r="H38" s="18"/>
    </row>
    <row r="39" spans="1:8" ht="36">
      <c r="A39" s="155" t="s">
        <v>848</v>
      </c>
      <c r="B39" s="15" t="s">
        <v>1624</v>
      </c>
      <c r="C39" s="15" t="s">
        <v>439</v>
      </c>
      <c r="D39" s="15" t="s">
        <v>229</v>
      </c>
      <c r="E39" s="15" t="s">
        <v>846</v>
      </c>
      <c r="F39" s="18">
        <f>9406+200+1500+3+318+10+820+950+175</f>
        <v>13382</v>
      </c>
      <c r="G39" s="17">
        <f t="shared" si="2"/>
        <v>13382</v>
      </c>
      <c r="H39" s="18"/>
    </row>
    <row r="40" spans="1:8" ht="36">
      <c r="A40" s="155" t="s">
        <v>95</v>
      </c>
      <c r="B40" s="15" t="s">
        <v>1624</v>
      </c>
      <c r="C40" s="15" t="s">
        <v>439</v>
      </c>
      <c r="D40" s="15" t="s">
        <v>229</v>
      </c>
      <c r="E40" s="15" t="s">
        <v>699</v>
      </c>
      <c r="F40" s="18">
        <v>3024.1</v>
      </c>
      <c r="G40" s="17">
        <f t="shared" si="2"/>
        <v>3024.1</v>
      </c>
      <c r="H40" s="18"/>
    </row>
    <row r="41" spans="1:8" ht="24">
      <c r="A41" s="155" t="s">
        <v>1535</v>
      </c>
      <c r="B41" s="15" t="s">
        <v>1624</v>
      </c>
      <c r="C41" s="15" t="s">
        <v>439</v>
      </c>
      <c r="D41" s="15" t="s">
        <v>229</v>
      </c>
      <c r="E41" s="15" t="s">
        <v>1536</v>
      </c>
      <c r="F41" s="18">
        <f>25636.1+911.1</f>
        <v>26547.199999999997</v>
      </c>
      <c r="G41" s="17">
        <f t="shared" si="2"/>
        <v>26547.199999999997</v>
      </c>
      <c r="H41" s="18"/>
    </row>
    <row r="42" spans="1:8" ht="84.75" hidden="1">
      <c r="A42" s="155" t="s">
        <v>716</v>
      </c>
      <c r="B42" s="15" t="s">
        <v>1624</v>
      </c>
      <c r="C42" s="15" t="s">
        <v>439</v>
      </c>
      <c r="D42" s="15" t="s">
        <v>229</v>
      </c>
      <c r="E42" s="15" t="s">
        <v>1659</v>
      </c>
      <c r="F42" s="18">
        <f>3247.7+20-3267.7</f>
        <v>0</v>
      </c>
      <c r="G42" s="17">
        <f t="shared" si="2"/>
        <v>0</v>
      </c>
      <c r="H42" s="18"/>
    </row>
    <row r="43" spans="1:8" ht="24">
      <c r="A43" s="16" t="s">
        <v>1020</v>
      </c>
      <c r="B43" s="15" t="s">
        <v>1624</v>
      </c>
      <c r="C43" s="15" t="s">
        <v>439</v>
      </c>
      <c r="D43" s="15" t="s">
        <v>229</v>
      </c>
      <c r="E43" s="15" t="s">
        <v>1021</v>
      </c>
      <c r="F43" s="18">
        <v>10</v>
      </c>
      <c r="G43" s="17">
        <f t="shared" si="2"/>
        <v>10</v>
      </c>
      <c r="H43" s="18"/>
    </row>
    <row r="44" spans="1:8" ht="24">
      <c r="A44" s="156" t="s">
        <v>1665</v>
      </c>
      <c r="B44" s="15" t="s">
        <v>1624</v>
      </c>
      <c r="C44" s="15" t="s">
        <v>439</v>
      </c>
      <c r="D44" s="15" t="s">
        <v>1635</v>
      </c>
      <c r="E44" s="15" t="s">
        <v>575</v>
      </c>
      <c r="F44" s="17">
        <f>F45</f>
        <v>5619.2</v>
      </c>
      <c r="G44" s="17">
        <f t="shared" si="2"/>
        <v>5619.2</v>
      </c>
      <c r="H44" s="18"/>
    </row>
    <row r="45" spans="1:8" ht="24">
      <c r="A45" s="156" t="s">
        <v>1665</v>
      </c>
      <c r="B45" s="15" t="s">
        <v>1624</v>
      </c>
      <c r="C45" s="15" t="s">
        <v>439</v>
      </c>
      <c r="D45" s="15" t="s">
        <v>1635</v>
      </c>
      <c r="E45" s="15" t="s">
        <v>1066</v>
      </c>
      <c r="F45" s="18">
        <v>5619.2</v>
      </c>
      <c r="G45" s="17">
        <f t="shared" si="2"/>
        <v>5619.2</v>
      </c>
      <c r="H45" s="18"/>
    </row>
    <row r="46" spans="1:8" ht="24">
      <c r="A46" s="31" t="s">
        <v>1148</v>
      </c>
      <c r="B46" s="15" t="s">
        <v>1624</v>
      </c>
      <c r="C46" s="15" t="s">
        <v>439</v>
      </c>
      <c r="D46" s="15" t="s">
        <v>1149</v>
      </c>
      <c r="E46" s="15"/>
      <c r="F46" s="17">
        <f>F47+F51+F55</f>
        <v>17262</v>
      </c>
      <c r="G46" s="17">
        <f t="shared" si="2"/>
        <v>0</v>
      </c>
      <c r="H46" s="17">
        <f>H47+H51+H55</f>
        <v>17262</v>
      </c>
    </row>
    <row r="47" spans="1:8" ht="84">
      <c r="A47" s="155" t="s">
        <v>168</v>
      </c>
      <c r="B47" s="15" t="s">
        <v>1624</v>
      </c>
      <c r="C47" s="15" t="s">
        <v>439</v>
      </c>
      <c r="D47" s="15" t="s">
        <v>169</v>
      </c>
      <c r="E47" s="15" t="s">
        <v>575</v>
      </c>
      <c r="F47" s="17">
        <f>F48+F49+F50</f>
        <v>4792</v>
      </c>
      <c r="G47" s="17">
        <f t="shared" si="2"/>
        <v>0</v>
      </c>
      <c r="H47" s="17">
        <f>H48+H49+H50</f>
        <v>4792</v>
      </c>
    </row>
    <row r="48" spans="1:8" ht="24">
      <c r="A48" s="155" t="s">
        <v>382</v>
      </c>
      <c r="B48" s="15" t="s">
        <v>1624</v>
      </c>
      <c r="C48" s="15" t="s">
        <v>439</v>
      </c>
      <c r="D48" s="15" t="s">
        <v>169</v>
      </c>
      <c r="E48" s="15" t="s">
        <v>383</v>
      </c>
      <c r="F48" s="18">
        <v>3751.5</v>
      </c>
      <c r="G48" s="17">
        <f t="shared" si="2"/>
        <v>0</v>
      </c>
      <c r="H48" s="18">
        <v>3751.5</v>
      </c>
    </row>
    <row r="49" spans="1:8" ht="36">
      <c r="A49" s="155" t="s">
        <v>848</v>
      </c>
      <c r="B49" s="15" t="s">
        <v>1624</v>
      </c>
      <c r="C49" s="15" t="s">
        <v>439</v>
      </c>
      <c r="D49" s="15" t="s">
        <v>169</v>
      </c>
      <c r="E49" s="15" t="s">
        <v>846</v>
      </c>
      <c r="F49" s="18">
        <v>399.4</v>
      </c>
      <c r="G49" s="17">
        <f t="shared" si="2"/>
        <v>-0.6000000000000227</v>
      </c>
      <c r="H49" s="18">
        <v>400</v>
      </c>
    </row>
    <row r="50" spans="1:8" ht="24">
      <c r="A50" s="155" t="s">
        <v>1535</v>
      </c>
      <c r="B50" s="15" t="s">
        <v>1624</v>
      </c>
      <c r="C50" s="15" t="s">
        <v>439</v>
      </c>
      <c r="D50" s="15" t="s">
        <v>169</v>
      </c>
      <c r="E50" s="15" t="s">
        <v>1536</v>
      </c>
      <c r="F50" s="18">
        <v>641.1</v>
      </c>
      <c r="G50" s="17">
        <f t="shared" si="2"/>
        <v>0.6000000000000227</v>
      </c>
      <c r="H50" s="18">
        <v>640.5</v>
      </c>
    </row>
    <row r="51" spans="1:8" ht="84">
      <c r="A51" s="16" t="s">
        <v>759</v>
      </c>
      <c r="B51" s="15" t="s">
        <v>1624</v>
      </c>
      <c r="C51" s="15" t="s">
        <v>439</v>
      </c>
      <c r="D51" s="15" t="s">
        <v>170</v>
      </c>
      <c r="E51" s="15" t="s">
        <v>575</v>
      </c>
      <c r="F51" s="17">
        <f>F52+F53+F54</f>
        <v>8659</v>
      </c>
      <c r="G51" s="17">
        <f t="shared" si="2"/>
        <v>0</v>
      </c>
      <c r="H51" s="17">
        <f>H52+H53+H54</f>
        <v>8659</v>
      </c>
    </row>
    <row r="52" spans="1:8" ht="24">
      <c r="A52" s="155" t="s">
        <v>382</v>
      </c>
      <c r="B52" s="15" t="s">
        <v>1624</v>
      </c>
      <c r="C52" s="15" t="s">
        <v>439</v>
      </c>
      <c r="D52" s="15" t="s">
        <v>170</v>
      </c>
      <c r="E52" s="15" t="s">
        <v>383</v>
      </c>
      <c r="F52" s="18">
        <v>5629.9</v>
      </c>
      <c r="G52" s="17">
        <f t="shared" si="2"/>
        <v>0</v>
      </c>
      <c r="H52" s="18">
        <v>5629.9</v>
      </c>
    </row>
    <row r="53" spans="1:8" ht="36">
      <c r="A53" s="155" t="s">
        <v>848</v>
      </c>
      <c r="B53" s="15" t="s">
        <v>1624</v>
      </c>
      <c r="C53" s="15" t="s">
        <v>439</v>
      </c>
      <c r="D53" s="15" t="s">
        <v>170</v>
      </c>
      <c r="E53" s="15" t="s">
        <v>846</v>
      </c>
      <c r="F53" s="18">
        <v>475.6</v>
      </c>
      <c r="G53" s="17">
        <f t="shared" si="2"/>
        <v>0</v>
      </c>
      <c r="H53" s="18">
        <v>475.6</v>
      </c>
    </row>
    <row r="54" spans="1:8" ht="24">
      <c r="A54" s="155" t="s">
        <v>1535</v>
      </c>
      <c r="B54" s="15" t="s">
        <v>1624</v>
      </c>
      <c r="C54" s="15" t="s">
        <v>439</v>
      </c>
      <c r="D54" s="15" t="s">
        <v>170</v>
      </c>
      <c r="E54" s="15" t="s">
        <v>1536</v>
      </c>
      <c r="F54" s="18">
        <v>2553.5</v>
      </c>
      <c r="G54" s="17">
        <f t="shared" si="2"/>
        <v>0</v>
      </c>
      <c r="H54" s="18">
        <v>2553.5</v>
      </c>
    </row>
    <row r="55" spans="1:8" ht="60">
      <c r="A55" s="155" t="s">
        <v>397</v>
      </c>
      <c r="B55" s="15" t="s">
        <v>1624</v>
      </c>
      <c r="C55" s="15" t="s">
        <v>439</v>
      </c>
      <c r="D55" s="15" t="s">
        <v>171</v>
      </c>
      <c r="E55" s="15" t="s">
        <v>575</v>
      </c>
      <c r="F55" s="17">
        <f>F56</f>
        <v>3811</v>
      </c>
      <c r="G55" s="17">
        <f t="shared" si="2"/>
        <v>0</v>
      </c>
      <c r="H55" s="17">
        <f>H56</f>
        <v>3811</v>
      </c>
    </row>
    <row r="56" spans="1:8" ht="24">
      <c r="A56" s="155" t="s">
        <v>382</v>
      </c>
      <c r="B56" s="15" t="s">
        <v>1624</v>
      </c>
      <c r="C56" s="15" t="s">
        <v>439</v>
      </c>
      <c r="D56" s="15" t="s">
        <v>171</v>
      </c>
      <c r="E56" s="15" t="s">
        <v>383</v>
      </c>
      <c r="F56" s="18">
        <v>3811</v>
      </c>
      <c r="G56" s="17">
        <f t="shared" si="2"/>
        <v>0</v>
      </c>
      <c r="H56" s="18">
        <v>3811</v>
      </c>
    </row>
    <row r="57" spans="1:8" ht="15.75" hidden="1">
      <c r="A57" s="29" t="s">
        <v>1625</v>
      </c>
      <c r="B57" s="15" t="s">
        <v>1624</v>
      </c>
      <c r="C57" s="15" t="s">
        <v>1648</v>
      </c>
      <c r="D57" s="15"/>
      <c r="E57" s="15"/>
      <c r="F57" s="17">
        <f aca="true" t="shared" si="3" ref="F57:H58">F58</f>
        <v>0</v>
      </c>
      <c r="G57" s="17">
        <f t="shared" si="3"/>
        <v>0</v>
      </c>
      <c r="H57" s="17">
        <f t="shared" si="3"/>
        <v>0</v>
      </c>
    </row>
    <row r="58" spans="1:8" ht="48" hidden="1">
      <c r="A58" s="35" t="s">
        <v>1656</v>
      </c>
      <c r="B58" s="15" t="s">
        <v>1624</v>
      </c>
      <c r="C58" s="15" t="s">
        <v>1648</v>
      </c>
      <c r="D58" s="15" t="s">
        <v>748</v>
      </c>
      <c r="E58" s="15" t="s">
        <v>575</v>
      </c>
      <c r="F58" s="17">
        <f>F59+F60</f>
        <v>0</v>
      </c>
      <c r="G58" s="17">
        <f>G59+G60</f>
        <v>0</v>
      </c>
      <c r="H58" s="17">
        <f t="shared" si="3"/>
        <v>0</v>
      </c>
    </row>
    <row r="59" spans="1:8" ht="24.75" hidden="1">
      <c r="A59" s="16" t="s">
        <v>698</v>
      </c>
      <c r="B59" s="15" t="s">
        <v>1624</v>
      </c>
      <c r="C59" s="15" t="s">
        <v>1648</v>
      </c>
      <c r="D59" s="15" t="s">
        <v>748</v>
      </c>
      <c r="E59" s="15" t="s">
        <v>463</v>
      </c>
      <c r="F59" s="18"/>
      <c r="G59" s="17">
        <f>F59-H59</f>
        <v>0</v>
      </c>
      <c r="H59" s="77"/>
    </row>
    <row r="60" spans="1:8" ht="24.75" hidden="1">
      <c r="A60" s="16" t="s">
        <v>1019</v>
      </c>
      <c r="B60" s="15" t="s">
        <v>1624</v>
      </c>
      <c r="C60" s="15" t="s">
        <v>1648</v>
      </c>
      <c r="D60" s="15" t="s">
        <v>748</v>
      </c>
      <c r="E60" s="15" t="s">
        <v>1644</v>
      </c>
      <c r="F60" s="18"/>
      <c r="G60" s="17">
        <f>F60-H60</f>
        <v>0</v>
      </c>
      <c r="H60" s="77"/>
    </row>
    <row r="61" spans="1:8" ht="48">
      <c r="A61" s="29" t="s">
        <v>550</v>
      </c>
      <c r="B61" s="15" t="s">
        <v>1624</v>
      </c>
      <c r="C61" s="15" t="s">
        <v>1647</v>
      </c>
      <c r="D61" s="15"/>
      <c r="E61" s="15"/>
      <c r="F61" s="17">
        <f>F62+F70</f>
        <v>24975.600000000006</v>
      </c>
      <c r="G61" s="17">
        <f>G62+G70</f>
        <v>24975.600000000006</v>
      </c>
      <c r="H61" s="17">
        <f>H62</f>
        <v>0</v>
      </c>
    </row>
    <row r="62" spans="1:8" ht="24">
      <c r="A62" s="16" t="s">
        <v>500</v>
      </c>
      <c r="B62" s="15" t="s">
        <v>1624</v>
      </c>
      <c r="C62" s="15" t="s">
        <v>1647</v>
      </c>
      <c r="D62" s="15" t="s">
        <v>229</v>
      </c>
      <c r="E62" s="15" t="s">
        <v>575</v>
      </c>
      <c r="F62" s="17">
        <f>F63+F64+F65+F69</f>
        <v>24960.600000000006</v>
      </c>
      <c r="G62" s="17">
        <f>G63+G64+G65+G69</f>
        <v>24960.600000000006</v>
      </c>
      <c r="H62" s="17">
        <f>SUM(H63:H69)</f>
        <v>0</v>
      </c>
    </row>
    <row r="63" spans="1:8" ht="24">
      <c r="A63" s="16" t="s">
        <v>382</v>
      </c>
      <c r="B63" s="15" t="s">
        <v>1624</v>
      </c>
      <c r="C63" s="15" t="s">
        <v>1647</v>
      </c>
      <c r="D63" s="15" t="s">
        <v>229</v>
      </c>
      <c r="E63" s="15" t="s">
        <v>383</v>
      </c>
      <c r="F63" s="18">
        <f>4141.1+14352.2+4334.4+81.5+85+0.1</f>
        <v>22994.300000000003</v>
      </c>
      <c r="G63" s="17">
        <f aca="true" t="shared" si="4" ref="G63:G71">F63-H63</f>
        <v>22994.300000000003</v>
      </c>
      <c r="H63" s="18"/>
    </row>
    <row r="64" spans="1:8" ht="24">
      <c r="A64" s="16" t="s">
        <v>384</v>
      </c>
      <c r="B64" s="15" t="s">
        <v>1624</v>
      </c>
      <c r="C64" s="15" t="s">
        <v>1647</v>
      </c>
      <c r="D64" s="15" t="s">
        <v>229</v>
      </c>
      <c r="E64" s="15" t="s">
        <v>385</v>
      </c>
      <c r="F64" s="18">
        <v>4.9</v>
      </c>
      <c r="G64" s="17">
        <f t="shared" si="4"/>
        <v>4.9</v>
      </c>
      <c r="H64" s="18"/>
    </row>
    <row r="65" spans="1:8" ht="24">
      <c r="A65" s="155" t="s">
        <v>172</v>
      </c>
      <c r="B65" s="15" t="s">
        <v>1624</v>
      </c>
      <c r="C65" s="15" t="s">
        <v>1647</v>
      </c>
      <c r="D65" s="15" t="s">
        <v>229</v>
      </c>
      <c r="E65" s="15" t="s">
        <v>1644</v>
      </c>
      <c r="F65" s="17">
        <f>F66+F67+F68</f>
        <v>1961.4</v>
      </c>
      <c r="G65" s="17">
        <f t="shared" si="4"/>
        <v>1961.4</v>
      </c>
      <c r="H65" s="18"/>
    </row>
    <row r="66" spans="1:8" ht="36">
      <c r="A66" s="155" t="s">
        <v>848</v>
      </c>
      <c r="B66" s="15" t="s">
        <v>1624</v>
      </c>
      <c r="C66" s="15" t="s">
        <v>1647</v>
      </c>
      <c r="D66" s="15" t="s">
        <v>229</v>
      </c>
      <c r="E66" s="15" t="s">
        <v>846</v>
      </c>
      <c r="F66" s="18">
        <v>1256.2</v>
      </c>
      <c r="G66" s="17">
        <f t="shared" si="4"/>
        <v>1256.2</v>
      </c>
      <c r="H66" s="18"/>
    </row>
    <row r="67" spans="1:8" ht="36">
      <c r="A67" s="155" t="s">
        <v>95</v>
      </c>
      <c r="B67" s="15" t="s">
        <v>1624</v>
      </c>
      <c r="C67" s="15" t="s">
        <v>1647</v>
      </c>
      <c r="D67" s="15" t="s">
        <v>229</v>
      </c>
      <c r="E67" s="15" t="s">
        <v>699</v>
      </c>
      <c r="F67" s="18">
        <f>245-70</f>
        <v>175</v>
      </c>
      <c r="G67" s="17">
        <f t="shared" si="4"/>
        <v>175</v>
      </c>
      <c r="H67" s="18"/>
    </row>
    <row r="68" spans="1:8" ht="24">
      <c r="A68" s="155" t="s">
        <v>1535</v>
      </c>
      <c r="B68" s="15" t="s">
        <v>1624</v>
      </c>
      <c r="C68" s="15" t="s">
        <v>1647</v>
      </c>
      <c r="D68" s="15" t="s">
        <v>229</v>
      </c>
      <c r="E68" s="15" t="s">
        <v>1536</v>
      </c>
      <c r="F68" s="18">
        <v>530.2</v>
      </c>
      <c r="G68" s="17">
        <f t="shared" si="4"/>
        <v>530.2</v>
      </c>
      <c r="H68" s="18"/>
    </row>
    <row r="69" spans="1:8" ht="24.75" hidden="1">
      <c r="A69" s="16" t="s">
        <v>1020</v>
      </c>
      <c r="B69" s="15" t="s">
        <v>1624</v>
      </c>
      <c r="C69" s="15" t="s">
        <v>1647</v>
      </c>
      <c r="D69" s="15" t="s">
        <v>229</v>
      </c>
      <c r="E69" s="15" t="s">
        <v>1021</v>
      </c>
      <c r="F69" s="18"/>
      <c r="G69" s="17">
        <f t="shared" si="4"/>
        <v>0</v>
      </c>
      <c r="H69" s="18"/>
    </row>
    <row r="70" spans="1:8" ht="24">
      <c r="A70" s="156" t="s">
        <v>1665</v>
      </c>
      <c r="B70" s="15" t="s">
        <v>1624</v>
      </c>
      <c r="C70" s="15" t="s">
        <v>1647</v>
      </c>
      <c r="D70" s="15" t="s">
        <v>1635</v>
      </c>
      <c r="E70" s="15" t="s">
        <v>575</v>
      </c>
      <c r="F70" s="17">
        <f>F71</f>
        <v>15</v>
      </c>
      <c r="G70" s="17">
        <f t="shared" si="4"/>
        <v>15</v>
      </c>
      <c r="H70" s="18"/>
    </row>
    <row r="71" spans="1:8" ht="24">
      <c r="A71" s="156" t="s">
        <v>1665</v>
      </c>
      <c r="B71" s="15" t="s">
        <v>1624</v>
      </c>
      <c r="C71" s="15" t="s">
        <v>1647</v>
      </c>
      <c r="D71" s="15" t="s">
        <v>1635</v>
      </c>
      <c r="E71" s="15" t="s">
        <v>1066</v>
      </c>
      <c r="F71" s="18">
        <f>1.6+13.4</f>
        <v>15</v>
      </c>
      <c r="G71" s="17">
        <f t="shared" si="4"/>
        <v>15</v>
      </c>
      <c r="H71" s="18"/>
    </row>
    <row r="72" spans="1:8" ht="24" hidden="1">
      <c r="A72" s="75" t="s">
        <v>726</v>
      </c>
      <c r="B72" s="15" t="s">
        <v>1624</v>
      </c>
      <c r="C72" s="15" t="s">
        <v>1651</v>
      </c>
      <c r="D72" s="15"/>
      <c r="E72" s="15"/>
      <c r="F72" s="17">
        <f aca="true" t="shared" si="5" ref="F72:H73">F73</f>
        <v>0</v>
      </c>
      <c r="G72" s="17">
        <f t="shared" si="5"/>
        <v>0</v>
      </c>
      <c r="H72" s="17">
        <f t="shared" si="5"/>
        <v>0</v>
      </c>
    </row>
    <row r="73" spans="1:8" ht="24.75" hidden="1">
      <c r="A73" s="16" t="s">
        <v>696</v>
      </c>
      <c r="B73" s="15" t="s">
        <v>1624</v>
      </c>
      <c r="C73" s="15" t="s">
        <v>1651</v>
      </c>
      <c r="D73" s="15" t="s">
        <v>697</v>
      </c>
      <c r="E73" s="15" t="s">
        <v>575</v>
      </c>
      <c r="F73" s="17">
        <f t="shared" si="5"/>
        <v>0</v>
      </c>
      <c r="G73" s="17">
        <f t="shared" si="5"/>
        <v>0</v>
      </c>
      <c r="H73" s="17">
        <f t="shared" si="5"/>
        <v>0</v>
      </c>
    </row>
    <row r="74" spans="1:8" ht="24.75" hidden="1">
      <c r="A74" s="16" t="s">
        <v>698</v>
      </c>
      <c r="B74" s="15" t="s">
        <v>1624</v>
      </c>
      <c r="C74" s="15" t="s">
        <v>1651</v>
      </c>
      <c r="D74" s="15" t="s">
        <v>697</v>
      </c>
      <c r="E74" s="15" t="s">
        <v>463</v>
      </c>
      <c r="F74" s="18"/>
      <c r="G74" s="17">
        <f>F74-H74</f>
        <v>0</v>
      </c>
      <c r="H74" s="18"/>
    </row>
    <row r="75" spans="1:8" ht="24" hidden="1">
      <c r="A75" s="75" t="s">
        <v>646</v>
      </c>
      <c r="B75" s="15" t="s">
        <v>1624</v>
      </c>
      <c r="C75" s="15" t="s">
        <v>1990</v>
      </c>
      <c r="D75" s="15"/>
      <c r="E75" s="15"/>
      <c r="F75" s="17">
        <f>F76</f>
        <v>0</v>
      </c>
      <c r="G75" s="17">
        <f>G76</f>
        <v>0</v>
      </c>
      <c r="H75" s="18"/>
    </row>
    <row r="76" spans="1:8" ht="15.75" hidden="1">
      <c r="A76" s="16" t="s">
        <v>36</v>
      </c>
      <c r="B76" s="15" t="s">
        <v>1624</v>
      </c>
      <c r="C76" s="15" t="s">
        <v>1990</v>
      </c>
      <c r="D76" s="15" t="s">
        <v>1162</v>
      </c>
      <c r="E76" s="15"/>
      <c r="F76" s="17">
        <f>F77</f>
        <v>0</v>
      </c>
      <c r="G76" s="17">
        <f>G77</f>
        <v>0</v>
      </c>
      <c r="H76" s="18"/>
    </row>
    <row r="77" spans="1:8" ht="24.75" hidden="1">
      <c r="A77" s="16" t="s">
        <v>1163</v>
      </c>
      <c r="B77" s="15" t="s">
        <v>1624</v>
      </c>
      <c r="C77" s="15" t="s">
        <v>1990</v>
      </c>
      <c r="D77" s="15" t="s">
        <v>1162</v>
      </c>
      <c r="E77" s="15" t="s">
        <v>1164</v>
      </c>
      <c r="F77" s="18">
        <f>55-55</f>
        <v>0</v>
      </c>
      <c r="G77" s="17">
        <f>F77-H77</f>
        <v>0</v>
      </c>
      <c r="H77" s="18"/>
    </row>
    <row r="78" spans="1:8" ht="15">
      <c r="A78" s="75" t="s">
        <v>573</v>
      </c>
      <c r="B78" s="15" t="s">
        <v>1624</v>
      </c>
      <c r="C78" s="15" t="s">
        <v>98</v>
      </c>
      <c r="D78" s="145"/>
      <c r="E78" s="15"/>
      <c r="F78" s="17">
        <f>F80</f>
        <v>7246</v>
      </c>
      <c r="G78" s="17">
        <f>G80</f>
        <v>7246</v>
      </c>
      <c r="H78" s="17">
        <f>H80</f>
        <v>0</v>
      </c>
    </row>
    <row r="79" spans="1:8" ht="15">
      <c r="A79" s="31" t="s">
        <v>573</v>
      </c>
      <c r="B79" s="15" t="s">
        <v>1624</v>
      </c>
      <c r="C79" s="15" t="s">
        <v>98</v>
      </c>
      <c r="D79" s="15" t="s">
        <v>984</v>
      </c>
      <c r="E79" s="15"/>
      <c r="F79" s="17">
        <f>F80</f>
        <v>7246</v>
      </c>
      <c r="G79" s="17">
        <f>F79-H79</f>
        <v>7246</v>
      </c>
      <c r="H79" s="17"/>
    </row>
    <row r="80" spans="1:8" ht="24">
      <c r="A80" s="16" t="s">
        <v>18</v>
      </c>
      <c r="B80" s="15" t="s">
        <v>1624</v>
      </c>
      <c r="C80" s="15" t="s">
        <v>98</v>
      </c>
      <c r="D80" s="15" t="s">
        <v>19</v>
      </c>
      <c r="E80" s="15" t="s">
        <v>575</v>
      </c>
      <c r="F80" s="17">
        <f>F81</f>
        <v>7246</v>
      </c>
      <c r="G80" s="17">
        <f>F80-H80</f>
        <v>7246</v>
      </c>
      <c r="H80" s="18"/>
    </row>
    <row r="81" spans="1:8" ht="24">
      <c r="A81" s="16" t="s">
        <v>717</v>
      </c>
      <c r="B81" s="15" t="s">
        <v>1624</v>
      </c>
      <c r="C81" s="15" t="s">
        <v>98</v>
      </c>
      <c r="D81" s="15" t="s">
        <v>19</v>
      </c>
      <c r="E81" s="15" t="s">
        <v>718</v>
      </c>
      <c r="F81" s="18">
        <v>7246</v>
      </c>
      <c r="G81" s="17">
        <f>F81-H81</f>
        <v>7246</v>
      </c>
      <c r="H81" s="18"/>
    </row>
    <row r="82" spans="1:8" ht="24">
      <c r="A82" s="29" t="s">
        <v>1617</v>
      </c>
      <c r="B82" s="15" t="s">
        <v>1624</v>
      </c>
      <c r="C82" s="15" t="s">
        <v>714</v>
      </c>
      <c r="D82" s="15"/>
      <c r="E82" s="15"/>
      <c r="F82" s="17">
        <f>F83+F85+F106+F124+F130+F134</f>
        <v>182454.39999999997</v>
      </c>
      <c r="G82" s="17">
        <f>G83+G85+G106+G124+G130+G134</f>
        <v>182454.39999999997</v>
      </c>
      <c r="H82" s="17">
        <f>H83+H86+H94+H98+H106+H124</f>
        <v>0</v>
      </c>
    </row>
    <row r="83" spans="1:8" ht="36" hidden="1">
      <c r="A83" s="29" t="s">
        <v>1993</v>
      </c>
      <c r="B83" s="15" t="s">
        <v>1624</v>
      </c>
      <c r="C83" s="15" t="s">
        <v>714</v>
      </c>
      <c r="D83" s="15" t="s">
        <v>1994</v>
      </c>
      <c r="E83" s="15"/>
      <c r="F83" s="17">
        <f>F84</f>
        <v>0</v>
      </c>
      <c r="G83" s="17">
        <f aca="true" t="shared" si="6" ref="G83:G105">F83-H83</f>
        <v>0</v>
      </c>
      <c r="H83" s="17">
        <f>H84</f>
        <v>0</v>
      </c>
    </row>
    <row r="84" spans="1:8" ht="24.75" hidden="1">
      <c r="A84" s="16" t="s">
        <v>1104</v>
      </c>
      <c r="B84" s="15" t="s">
        <v>1624</v>
      </c>
      <c r="C84" s="15" t="s">
        <v>714</v>
      </c>
      <c r="D84" s="15" t="s">
        <v>1994</v>
      </c>
      <c r="E84" s="15" t="s">
        <v>139</v>
      </c>
      <c r="F84" s="18"/>
      <c r="G84" s="17">
        <f t="shared" si="6"/>
        <v>0</v>
      </c>
      <c r="H84" s="18"/>
    </row>
    <row r="85" spans="1:8" ht="48">
      <c r="A85" s="31" t="s">
        <v>1542</v>
      </c>
      <c r="B85" s="15" t="s">
        <v>1624</v>
      </c>
      <c r="C85" s="15" t="s">
        <v>714</v>
      </c>
      <c r="D85" s="15" t="s">
        <v>1543</v>
      </c>
      <c r="E85" s="15"/>
      <c r="F85" s="17">
        <f>F86+F94+F96</f>
        <v>66905.9</v>
      </c>
      <c r="G85" s="17">
        <f t="shared" si="6"/>
        <v>66905.9</v>
      </c>
      <c r="H85" s="18"/>
    </row>
    <row r="86" spans="1:8" ht="24">
      <c r="A86" s="30" t="s">
        <v>500</v>
      </c>
      <c r="B86" s="15" t="s">
        <v>1624</v>
      </c>
      <c r="C86" s="15" t="s">
        <v>714</v>
      </c>
      <c r="D86" s="15" t="s">
        <v>229</v>
      </c>
      <c r="E86" s="15" t="s">
        <v>575</v>
      </c>
      <c r="F86" s="17">
        <f>F87+F88+F89+F92+F93</f>
        <v>36312.7</v>
      </c>
      <c r="G86" s="17">
        <f t="shared" si="6"/>
        <v>36312.7</v>
      </c>
      <c r="H86" s="17">
        <f>SUM(H92:H95)</f>
        <v>0</v>
      </c>
    </row>
    <row r="87" spans="1:8" ht="24">
      <c r="A87" s="16" t="s">
        <v>382</v>
      </c>
      <c r="B87" s="15" t="s">
        <v>1624</v>
      </c>
      <c r="C87" s="15" t="s">
        <v>714</v>
      </c>
      <c r="D87" s="15" t="s">
        <v>229</v>
      </c>
      <c r="E87" s="15" t="s">
        <v>383</v>
      </c>
      <c r="F87" s="18">
        <f>26217.3+7917.6+1237.5</f>
        <v>35372.4</v>
      </c>
      <c r="G87" s="17">
        <f t="shared" si="6"/>
        <v>35372.4</v>
      </c>
      <c r="H87" s="17"/>
    </row>
    <row r="88" spans="1:8" ht="24">
      <c r="A88" s="16" t="s">
        <v>921</v>
      </c>
      <c r="B88" s="15" t="s">
        <v>1624</v>
      </c>
      <c r="C88" s="15" t="s">
        <v>714</v>
      </c>
      <c r="D88" s="15" t="s">
        <v>229</v>
      </c>
      <c r="E88" s="15" t="s">
        <v>385</v>
      </c>
      <c r="F88" s="18">
        <f>10-5-4.8</f>
        <v>0.20000000000000018</v>
      </c>
      <c r="G88" s="17">
        <f t="shared" si="6"/>
        <v>0.20000000000000018</v>
      </c>
      <c r="H88" s="17"/>
    </row>
    <row r="89" spans="1:8" ht="24">
      <c r="A89" s="155" t="s">
        <v>172</v>
      </c>
      <c r="B89" s="15" t="s">
        <v>1624</v>
      </c>
      <c r="C89" s="15" t="s">
        <v>714</v>
      </c>
      <c r="D89" s="15" t="s">
        <v>229</v>
      </c>
      <c r="E89" s="15" t="s">
        <v>1644</v>
      </c>
      <c r="F89" s="17">
        <f>F90+F91</f>
        <v>940.0999999999999</v>
      </c>
      <c r="G89" s="17">
        <f t="shared" si="6"/>
        <v>940.0999999999999</v>
      </c>
      <c r="H89" s="17"/>
    </row>
    <row r="90" spans="1:8" ht="36">
      <c r="A90" s="155" t="s">
        <v>848</v>
      </c>
      <c r="B90" s="15" t="s">
        <v>1624</v>
      </c>
      <c r="C90" s="15" t="s">
        <v>714</v>
      </c>
      <c r="D90" s="15" t="s">
        <v>229</v>
      </c>
      <c r="E90" s="15" t="s">
        <v>846</v>
      </c>
      <c r="F90" s="18">
        <v>397</v>
      </c>
      <c r="G90" s="17">
        <f t="shared" si="6"/>
        <v>397</v>
      </c>
      <c r="H90" s="17"/>
    </row>
    <row r="91" spans="1:8" ht="24">
      <c r="A91" s="155" t="s">
        <v>1535</v>
      </c>
      <c r="B91" s="15" t="s">
        <v>1624</v>
      </c>
      <c r="C91" s="15" t="s">
        <v>714</v>
      </c>
      <c r="D91" s="15" t="s">
        <v>229</v>
      </c>
      <c r="E91" s="15" t="s">
        <v>1536</v>
      </c>
      <c r="F91" s="18">
        <f>355.4+80+5+94.9+3+4.8</f>
        <v>543.0999999999999</v>
      </c>
      <c r="G91" s="17">
        <f t="shared" si="6"/>
        <v>543.0999999999999</v>
      </c>
      <c r="H91" s="17"/>
    </row>
    <row r="92" spans="1:8" ht="15.75" hidden="1">
      <c r="A92" s="156"/>
      <c r="B92" s="15" t="s">
        <v>1624</v>
      </c>
      <c r="C92" s="15" t="s">
        <v>714</v>
      </c>
      <c r="D92" s="15" t="s">
        <v>229</v>
      </c>
      <c r="E92" s="15"/>
      <c r="F92" s="18"/>
      <c r="G92" s="17">
        <f t="shared" si="6"/>
        <v>0</v>
      </c>
      <c r="H92" s="17"/>
    </row>
    <row r="93" spans="1:8" ht="24.75" hidden="1">
      <c r="A93" s="16" t="s">
        <v>1020</v>
      </c>
      <c r="B93" s="15" t="s">
        <v>1624</v>
      </c>
      <c r="C93" s="15" t="s">
        <v>714</v>
      </c>
      <c r="D93" s="15" t="s">
        <v>229</v>
      </c>
      <c r="E93" s="15" t="s">
        <v>1021</v>
      </c>
      <c r="F93" s="18">
        <f>4-1-3</f>
        <v>0</v>
      </c>
      <c r="G93" s="17">
        <f t="shared" si="6"/>
        <v>0</v>
      </c>
      <c r="H93" s="17"/>
    </row>
    <row r="94" spans="1:8" ht="24">
      <c r="A94" s="156" t="s">
        <v>1665</v>
      </c>
      <c r="B94" s="15" t="s">
        <v>1624</v>
      </c>
      <c r="C94" s="15" t="s">
        <v>714</v>
      </c>
      <c r="D94" s="15" t="s">
        <v>1635</v>
      </c>
      <c r="E94" s="15" t="s">
        <v>575</v>
      </c>
      <c r="F94" s="17">
        <f>F95</f>
        <v>14092.400000000001</v>
      </c>
      <c r="G94" s="17">
        <f t="shared" si="6"/>
        <v>14092.400000000001</v>
      </c>
      <c r="H94" s="17"/>
    </row>
    <row r="95" spans="1:8" ht="24">
      <c r="A95" s="156" t="s">
        <v>1665</v>
      </c>
      <c r="B95" s="15" t="s">
        <v>1624</v>
      </c>
      <c r="C95" s="15" t="s">
        <v>714</v>
      </c>
      <c r="D95" s="15" t="s">
        <v>1635</v>
      </c>
      <c r="E95" s="15" t="s">
        <v>1066</v>
      </c>
      <c r="F95" s="328">
        <f>13820.7+1+270.7</f>
        <v>14092.400000000001</v>
      </c>
      <c r="G95" s="17">
        <f t="shared" si="6"/>
        <v>14092.400000000001</v>
      </c>
      <c r="H95" s="17"/>
    </row>
    <row r="96" spans="1:8" ht="24">
      <c r="A96" s="16" t="s">
        <v>2002</v>
      </c>
      <c r="B96" s="15" t="s">
        <v>1624</v>
      </c>
      <c r="C96" s="15" t="s">
        <v>714</v>
      </c>
      <c r="D96" s="15" t="s">
        <v>361</v>
      </c>
      <c r="E96" s="15" t="s">
        <v>575</v>
      </c>
      <c r="F96" s="17">
        <f>F97+F98+F102+F103</f>
        <v>16500.8</v>
      </c>
      <c r="G96" s="17">
        <f t="shared" si="6"/>
        <v>16500.8</v>
      </c>
      <c r="H96" s="17"/>
    </row>
    <row r="97" spans="1:8" ht="24">
      <c r="A97" s="16" t="s">
        <v>382</v>
      </c>
      <c r="B97" s="15" t="s">
        <v>1624</v>
      </c>
      <c r="C97" s="15" t="s">
        <v>714</v>
      </c>
      <c r="D97" s="15" t="s">
        <v>361</v>
      </c>
      <c r="E97" s="15" t="s">
        <v>1067</v>
      </c>
      <c r="F97" s="18">
        <f>7278+370+112</f>
        <v>7760</v>
      </c>
      <c r="G97" s="17">
        <f t="shared" si="6"/>
        <v>7760</v>
      </c>
      <c r="H97" s="17"/>
    </row>
    <row r="98" spans="1:8" ht="24">
      <c r="A98" s="155" t="s">
        <v>172</v>
      </c>
      <c r="B98" s="15" t="s">
        <v>1624</v>
      </c>
      <c r="C98" s="15" t="s">
        <v>714</v>
      </c>
      <c r="D98" s="15" t="s">
        <v>361</v>
      </c>
      <c r="E98" s="15" t="s">
        <v>1644</v>
      </c>
      <c r="F98" s="17">
        <f>F99+F100+F101</f>
        <v>8729.8</v>
      </c>
      <c r="G98" s="17">
        <f t="shared" si="6"/>
        <v>8729.8</v>
      </c>
      <c r="H98" s="18"/>
    </row>
    <row r="99" spans="1:8" ht="36">
      <c r="A99" s="155" t="s">
        <v>848</v>
      </c>
      <c r="B99" s="15" t="s">
        <v>1624</v>
      </c>
      <c r="C99" s="15" t="s">
        <v>714</v>
      </c>
      <c r="D99" s="15" t="s">
        <v>361</v>
      </c>
      <c r="E99" s="15" t="s">
        <v>846</v>
      </c>
      <c r="F99" s="18">
        <v>298</v>
      </c>
      <c r="G99" s="17">
        <f t="shared" si="6"/>
        <v>298</v>
      </c>
      <c r="H99" s="18"/>
    </row>
    <row r="100" spans="1:8" ht="36">
      <c r="A100" s="155" t="s">
        <v>95</v>
      </c>
      <c r="B100" s="15" t="s">
        <v>1624</v>
      </c>
      <c r="C100" s="15" t="s">
        <v>714</v>
      </c>
      <c r="D100" s="15" t="s">
        <v>361</v>
      </c>
      <c r="E100" s="15" t="s">
        <v>699</v>
      </c>
      <c r="F100" s="18">
        <f>3797.4+1000-270.7</f>
        <v>4526.7</v>
      </c>
      <c r="G100" s="17">
        <f t="shared" si="6"/>
        <v>4526.7</v>
      </c>
      <c r="H100" s="18"/>
    </row>
    <row r="101" spans="1:8" ht="24">
      <c r="A101" s="155" t="s">
        <v>1535</v>
      </c>
      <c r="B101" s="15" t="s">
        <v>1624</v>
      </c>
      <c r="C101" s="15" t="s">
        <v>714</v>
      </c>
      <c r="D101" s="15" t="s">
        <v>361</v>
      </c>
      <c r="E101" s="15" t="s">
        <v>1536</v>
      </c>
      <c r="F101" s="18">
        <v>3905.1</v>
      </c>
      <c r="G101" s="17">
        <f t="shared" si="6"/>
        <v>3905.1</v>
      </c>
      <c r="H101" s="18"/>
    </row>
    <row r="102" spans="1:8" ht="24.75" hidden="1">
      <c r="A102" s="156" t="s">
        <v>1665</v>
      </c>
      <c r="B102" s="15" t="s">
        <v>1624</v>
      </c>
      <c r="C102" s="15" t="s">
        <v>714</v>
      </c>
      <c r="D102" s="15" t="s">
        <v>361</v>
      </c>
      <c r="E102" s="15" t="s">
        <v>1066</v>
      </c>
      <c r="F102" s="18">
        <v>0</v>
      </c>
      <c r="G102" s="17">
        <f t="shared" si="6"/>
        <v>0</v>
      </c>
      <c r="H102" s="18"/>
    </row>
    <row r="103" spans="1:8" ht="24">
      <c r="A103" s="156" t="s">
        <v>1020</v>
      </c>
      <c r="B103" s="15" t="s">
        <v>1624</v>
      </c>
      <c r="C103" s="15" t="s">
        <v>714</v>
      </c>
      <c r="D103" s="15" t="s">
        <v>361</v>
      </c>
      <c r="E103" s="15" t="s">
        <v>1021</v>
      </c>
      <c r="F103" s="18">
        <f>4+7</f>
        <v>11</v>
      </c>
      <c r="G103" s="17">
        <f t="shared" si="6"/>
        <v>11</v>
      </c>
      <c r="H103" s="18"/>
    </row>
    <row r="104" spans="1:8" ht="24.75" hidden="1">
      <c r="A104" s="16" t="s">
        <v>2002</v>
      </c>
      <c r="B104" s="15" t="s">
        <v>1624</v>
      </c>
      <c r="C104" s="15" t="s">
        <v>714</v>
      </c>
      <c r="D104" s="15" t="s">
        <v>361</v>
      </c>
      <c r="E104" s="15" t="s">
        <v>575</v>
      </c>
      <c r="F104" s="17">
        <f>F105</f>
        <v>0</v>
      </c>
      <c r="G104" s="17">
        <f t="shared" si="6"/>
        <v>0</v>
      </c>
      <c r="H104" s="18"/>
    </row>
    <row r="105" spans="1:8" ht="24.75" hidden="1">
      <c r="A105" s="16" t="s">
        <v>1636</v>
      </c>
      <c r="B105" s="15" t="s">
        <v>1624</v>
      </c>
      <c r="C105" s="15" t="s">
        <v>714</v>
      </c>
      <c r="D105" s="15" t="s">
        <v>361</v>
      </c>
      <c r="E105" s="15" t="s">
        <v>1063</v>
      </c>
      <c r="F105" s="18"/>
      <c r="G105" s="17">
        <f t="shared" si="6"/>
        <v>0</v>
      </c>
      <c r="H105" s="18"/>
    </row>
    <row r="106" spans="1:8" ht="33.75" customHeight="1">
      <c r="A106" s="30" t="s">
        <v>53</v>
      </c>
      <c r="B106" s="15" t="s">
        <v>1624</v>
      </c>
      <c r="C106" s="15" t="s">
        <v>714</v>
      </c>
      <c r="D106" s="15" t="s">
        <v>1545</v>
      </c>
      <c r="E106" s="15"/>
      <c r="F106" s="17">
        <f>F107+F111</f>
        <v>66026.2</v>
      </c>
      <c r="G106" s="17">
        <f>G107+G111</f>
        <v>66026.2</v>
      </c>
      <c r="H106" s="17">
        <f>SUM(H111:H116)</f>
        <v>0</v>
      </c>
    </row>
    <row r="107" spans="1:8" ht="36">
      <c r="A107" s="35" t="s">
        <v>719</v>
      </c>
      <c r="B107" s="15" t="s">
        <v>1624</v>
      </c>
      <c r="C107" s="15" t="s">
        <v>714</v>
      </c>
      <c r="D107" s="15" t="s">
        <v>1544</v>
      </c>
      <c r="E107" s="15" t="s">
        <v>575</v>
      </c>
      <c r="F107" s="17">
        <f>F108+F109</f>
        <v>955.8999999999999</v>
      </c>
      <c r="G107" s="17">
        <f aca="true" t="shared" si="7" ref="G107:G136">F107-H107</f>
        <v>955.8999999999999</v>
      </c>
      <c r="H107" s="17"/>
    </row>
    <row r="108" spans="1:8" ht="24.75" hidden="1">
      <c r="A108" s="16" t="s">
        <v>1365</v>
      </c>
      <c r="B108" s="15" t="s">
        <v>1624</v>
      </c>
      <c r="C108" s="15" t="s">
        <v>714</v>
      </c>
      <c r="D108" s="15" t="s">
        <v>554</v>
      </c>
      <c r="E108" s="15" t="s">
        <v>1366</v>
      </c>
      <c r="F108" s="18">
        <v>0</v>
      </c>
      <c r="G108" s="17">
        <f t="shared" si="7"/>
        <v>0</v>
      </c>
      <c r="H108" s="17"/>
    </row>
    <row r="109" spans="1:8" ht="24">
      <c r="A109" s="155" t="s">
        <v>172</v>
      </c>
      <c r="B109" s="15" t="s">
        <v>1624</v>
      </c>
      <c r="C109" s="15" t="s">
        <v>714</v>
      </c>
      <c r="D109" s="15" t="s">
        <v>1544</v>
      </c>
      <c r="E109" s="15" t="s">
        <v>1644</v>
      </c>
      <c r="F109" s="17">
        <f>F110</f>
        <v>955.8999999999999</v>
      </c>
      <c r="G109" s="17">
        <f t="shared" si="7"/>
        <v>955.8999999999999</v>
      </c>
      <c r="H109" s="17"/>
    </row>
    <row r="110" spans="1:8" ht="24">
      <c r="A110" s="155" t="s">
        <v>1535</v>
      </c>
      <c r="B110" s="15" t="s">
        <v>1624</v>
      </c>
      <c r="C110" s="15" t="s">
        <v>714</v>
      </c>
      <c r="D110" s="15" t="s">
        <v>1544</v>
      </c>
      <c r="E110" s="15" t="s">
        <v>1536</v>
      </c>
      <c r="F110" s="18">
        <f>1440.8-80-94.9-380.1+14.6+55.5</f>
        <v>955.8999999999999</v>
      </c>
      <c r="G110" s="17">
        <f t="shared" si="7"/>
        <v>955.8999999999999</v>
      </c>
      <c r="H110" s="17"/>
    </row>
    <row r="111" spans="1:8" ht="24">
      <c r="A111" s="16" t="s">
        <v>643</v>
      </c>
      <c r="B111" s="15" t="s">
        <v>1624</v>
      </c>
      <c r="C111" s="15" t="s">
        <v>714</v>
      </c>
      <c r="D111" s="15" t="s">
        <v>362</v>
      </c>
      <c r="E111" s="15" t="s">
        <v>575</v>
      </c>
      <c r="F111" s="17">
        <f>F112+F116+F117</f>
        <v>65070.299999999996</v>
      </c>
      <c r="G111" s="17">
        <f t="shared" si="7"/>
        <v>65070.299999999996</v>
      </c>
      <c r="H111" s="18"/>
    </row>
    <row r="112" spans="1:8" ht="24">
      <c r="A112" s="155" t="s">
        <v>847</v>
      </c>
      <c r="B112" s="15" t="s">
        <v>1624</v>
      </c>
      <c r="C112" s="15" t="s">
        <v>714</v>
      </c>
      <c r="D112" s="15" t="s">
        <v>362</v>
      </c>
      <c r="E112" s="15" t="s">
        <v>1644</v>
      </c>
      <c r="F112" s="17">
        <f>F113+F114+F115</f>
        <v>5593.2</v>
      </c>
      <c r="G112" s="17">
        <f t="shared" si="7"/>
        <v>5593.2</v>
      </c>
      <c r="H112" s="18"/>
    </row>
    <row r="113" spans="1:8" ht="36">
      <c r="A113" s="155" t="s">
        <v>848</v>
      </c>
      <c r="B113" s="15" t="s">
        <v>1624</v>
      </c>
      <c r="C113" s="15" t="s">
        <v>714</v>
      </c>
      <c r="D113" s="15" t="s">
        <v>362</v>
      </c>
      <c r="E113" s="15" t="s">
        <v>846</v>
      </c>
      <c r="F113" s="18">
        <v>931</v>
      </c>
      <c r="G113" s="17">
        <f t="shared" si="7"/>
        <v>931</v>
      </c>
      <c r="H113" s="18"/>
    </row>
    <row r="114" spans="1:8" ht="36.75" hidden="1">
      <c r="A114" s="155" t="s">
        <v>95</v>
      </c>
      <c r="B114" s="15" t="s">
        <v>1624</v>
      </c>
      <c r="C114" s="15" t="s">
        <v>714</v>
      </c>
      <c r="D114" s="15" t="s">
        <v>362</v>
      </c>
      <c r="E114" s="15" t="s">
        <v>699</v>
      </c>
      <c r="F114" s="18"/>
      <c r="G114" s="17">
        <f t="shared" si="7"/>
        <v>0</v>
      </c>
      <c r="H114" s="18"/>
    </row>
    <row r="115" spans="1:8" ht="24.75" customHeight="1">
      <c r="A115" s="155" t="s">
        <v>1535</v>
      </c>
      <c r="B115" s="15" t="s">
        <v>1624</v>
      </c>
      <c r="C115" s="15" t="s">
        <v>714</v>
      </c>
      <c r="D115" s="15" t="s">
        <v>362</v>
      </c>
      <c r="E115" s="15" t="s">
        <v>1536</v>
      </c>
      <c r="F115" s="18">
        <f>4050.1+85.1+135+32+50+175+135</f>
        <v>4662.2</v>
      </c>
      <c r="G115" s="17">
        <f t="shared" si="7"/>
        <v>4662.2</v>
      </c>
      <c r="H115" s="18"/>
    </row>
    <row r="116" spans="1:8" ht="72">
      <c r="A116" s="16" t="s">
        <v>1431</v>
      </c>
      <c r="B116" s="15" t="s">
        <v>1624</v>
      </c>
      <c r="C116" s="15" t="s">
        <v>714</v>
      </c>
      <c r="D116" s="15" t="s">
        <v>362</v>
      </c>
      <c r="E116" s="15" t="s">
        <v>981</v>
      </c>
      <c r="F116" s="18">
        <f>15312.9+259.9+69.3+240.5+173.3+398</f>
        <v>16453.899999999998</v>
      </c>
      <c r="G116" s="17">
        <f t="shared" si="7"/>
        <v>16453.899999999998</v>
      </c>
      <c r="H116" s="18"/>
    </row>
    <row r="117" spans="1:8" ht="24">
      <c r="A117" s="16" t="s">
        <v>1975</v>
      </c>
      <c r="B117" s="15" t="s">
        <v>1624</v>
      </c>
      <c r="C117" s="15" t="s">
        <v>714</v>
      </c>
      <c r="D117" s="15" t="s">
        <v>362</v>
      </c>
      <c r="E117" s="15" t="s">
        <v>1976</v>
      </c>
      <c r="F117" s="17">
        <f>F118+F122+F123+F121</f>
        <v>43023.2</v>
      </c>
      <c r="G117" s="17">
        <f t="shared" si="7"/>
        <v>43023.2</v>
      </c>
      <c r="H117" s="18"/>
    </row>
    <row r="118" spans="1:8" ht="48">
      <c r="A118" s="35" t="s">
        <v>305</v>
      </c>
      <c r="B118" s="15" t="s">
        <v>1624</v>
      </c>
      <c r="C118" s="15" t="s">
        <v>714</v>
      </c>
      <c r="D118" s="15" t="s">
        <v>362</v>
      </c>
      <c r="E118" s="15" t="s">
        <v>737</v>
      </c>
      <c r="F118" s="17">
        <f>F119+F120</f>
        <v>29232.3</v>
      </c>
      <c r="G118" s="17">
        <f t="shared" si="7"/>
        <v>29232.3</v>
      </c>
      <c r="H118" s="18"/>
    </row>
    <row r="119" spans="1:8" ht="48">
      <c r="A119" s="35" t="s">
        <v>826</v>
      </c>
      <c r="B119" s="15" t="s">
        <v>1624</v>
      </c>
      <c r="C119" s="15" t="s">
        <v>714</v>
      </c>
      <c r="D119" s="15" t="s">
        <v>362</v>
      </c>
      <c r="E119" s="15" t="s">
        <v>737</v>
      </c>
      <c r="F119" s="18">
        <f>1938+214.3</f>
        <v>2152.3</v>
      </c>
      <c r="G119" s="17">
        <f t="shared" si="7"/>
        <v>2152.3</v>
      </c>
      <c r="H119" s="18"/>
    </row>
    <row r="120" spans="1:8" ht="54" customHeight="1">
      <c r="A120" s="35" t="s">
        <v>774</v>
      </c>
      <c r="B120" s="15" t="s">
        <v>1624</v>
      </c>
      <c r="C120" s="15" t="s">
        <v>714</v>
      </c>
      <c r="D120" s="15" t="s">
        <v>362</v>
      </c>
      <c r="E120" s="15" t="s">
        <v>737</v>
      </c>
      <c r="F120" s="18">
        <f>3081+553+3020+2000+1838+2242+565+4702.4+4624.1+4454.5</f>
        <v>27080</v>
      </c>
      <c r="G120" s="17">
        <f t="shared" si="7"/>
        <v>27080</v>
      </c>
      <c r="H120" s="18"/>
    </row>
    <row r="121" spans="1:8" ht="84">
      <c r="A121" s="35" t="s">
        <v>716</v>
      </c>
      <c r="B121" s="15" t="s">
        <v>1624</v>
      </c>
      <c r="C121" s="15" t="s">
        <v>714</v>
      </c>
      <c r="D121" s="15" t="s">
        <v>362</v>
      </c>
      <c r="E121" s="15" t="s">
        <v>1659</v>
      </c>
      <c r="F121" s="18">
        <v>3748.1</v>
      </c>
      <c r="G121" s="17">
        <f t="shared" si="7"/>
        <v>3748.1</v>
      </c>
      <c r="H121" s="18"/>
    </row>
    <row r="122" spans="1:8" ht="24">
      <c r="A122" s="35" t="s">
        <v>1020</v>
      </c>
      <c r="B122" s="15" t="s">
        <v>1624</v>
      </c>
      <c r="C122" s="15" t="s">
        <v>714</v>
      </c>
      <c r="D122" s="15" t="s">
        <v>362</v>
      </c>
      <c r="E122" s="15" t="s">
        <v>1021</v>
      </c>
      <c r="F122" s="18">
        <f>477+40</f>
        <v>517</v>
      </c>
      <c r="G122" s="17">
        <f t="shared" si="7"/>
        <v>517</v>
      </c>
      <c r="H122" s="18"/>
    </row>
    <row r="123" spans="1:8" ht="24">
      <c r="A123" s="35" t="s">
        <v>1977</v>
      </c>
      <c r="B123" s="15" t="s">
        <v>1624</v>
      </c>
      <c r="C123" s="15" t="s">
        <v>714</v>
      </c>
      <c r="D123" s="15" t="s">
        <v>362</v>
      </c>
      <c r="E123" s="15" t="s">
        <v>1978</v>
      </c>
      <c r="F123" s="18">
        <f>8658-302.2+0.1+820+350-0.1</f>
        <v>9525.8</v>
      </c>
      <c r="G123" s="17">
        <f t="shared" si="7"/>
        <v>9525.8</v>
      </c>
      <c r="H123" s="18"/>
    </row>
    <row r="124" spans="1:8" ht="36">
      <c r="A124" s="31" t="s">
        <v>876</v>
      </c>
      <c r="B124" s="15" t="s">
        <v>1624</v>
      </c>
      <c r="C124" s="15" t="s">
        <v>714</v>
      </c>
      <c r="D124" s="15" t="s">
        <v>102</v>
      </c>
      <c r="E124" s="15"/>
      <c r="F124" s="17">
        <f>F125+F129</f>
        <v>48507.3</v>
      </c>
      <c r="G124" s="17">
        <f t="shared" si="7"/>
        <v>48507.3</v>
      </c>
      <c r="H124" s="18"/>
    </row>
    <row r="125" spans="1:8" ht="36">
      <c r="A125" s="35" t="s">
        <v>306</v>
      </c>
      <c r="B125" s="15" t="s">
        <v>1624</v>
      </c>
      <c r="C125" s="15" t="s">
        <v>714</v>
      </c>
      <c r="D125" s="15" t="s">
        <v>15</v>
      </c>
      <c r="E125" s="15" t="s">
        <v>575</v>
      </c>
      <c r="F125" s="17">
        <f>F126+F128</f>
        <v>48507.3</v>
      </c>
      <c r="G125" s="17">
        <f t="shared" si="7"/>
        <v>48507.3</v>
      </c>
      <c r="H125" s="18"/>
    </row>
    <row r="126" spans="1:8" ht="72">
      <c r="A126" s="16" t="s">
        <v>162</v>
      </c>
      <c r="B126" s="15" t="s">
        <v>1624</v>
      </c>
      <c r="C126" s="15" t="s">
        <v>714</v>
      </c>
      <c r="D126" s="15" t="s">
        <v>15</v>
      </c>
      <c r="E126" s="15" t="s">
        <v>981</v>
      </c>
      <c r="F126" s="18">
        <f>38949.9+9557.4</f>
        <v>48507.3</v>
      </c>
      <c r="G126" s="17">
        <f t="shared" si="7"/>
        <v>48507.3</v>
      </c>
      <c r="H126" s="18"/>
    </row>
    <row r="127" spans="1:8" ht="43.5" customHeight="1" hidden="1">
      <c r="A127" s="16" t="s">
        <v>529</v>
      </c>
      <c r="B127" s="15" t="s">
        <v>1624</v>
      </c>
      <c r="C127" s="15" t="s">
        <v>714</v>
      </c>
      <c r="D127" s="15" t="s">
        <v>15</v>
      </c>
      <c r="E127" s="15" t="s">
        <v>530</v>
      </c>
      <c r="F127" s="17"/>
      <c r="G127" s="17">
        <f t="shared" si="7"/>
        <v>0</v>
      </c>
      <c r="H127" s="18"/>
    </row>
    <row r="128" spans="1:8" ht="60" hidden="1">
      <c r="A128" s="16" t="s">
        <v>419</v>
      </c>
      <c r="B128" s="15" t="s">
        <v>1624</v>
      </c>
      <c r="C128" s="15" t="s">
        <v>714</v>
      </c>
      <c r="D128" s="15" t="s">
        <v>15</v>
      </c>
      <c r="E128" s="15" t="s">
        <v>530</v>
      </c>
      <c r="F128" s="77">
        <f>18990+5000-23990</f>
        <v>0</v>
      </c>
      <c r="G128" s="17">
        <f t="shared" si="7"/>
        <v>0</v>
      </c>
      <c r="H128" s="18"/>
    </row>
    <row r="129" spans="1:8" ht="60" hidden="1">
      <c r="A129" s="16" t="s">
        <v>420</v>
      </c>
      <c r="B129" s="15" t="s">
        <v>1624</v>
      </c>
      <c r="C129" s="15" t="s">
        <v>714</v>
      </c>
      <c r="D129" s="15" t="s">
        <v>590</v>
      </c>
      <c r="E129" s="15" t="s">
        <v>530</v>
      </c>
      <c r="F129" s="77">
        <f>60870.2-60870.2</f>
        <v>0</v>
      </c>
      <c r="G129" s="17">
        <f t="shared" si="7"/>
        <v>0</v>
      </c>
      <c r="H129" s="18"/>
    </row>
    <row r="130" spans="1:8" ht="15">
      <c r="A130" s="31" t="s">
        <v>32</v>
      </c>
      <c r="B130" s="15" t="s">
        <v>1624</v>
      </c>
      <c r="C130" s="15" t="s">
        <v>714</v>
      </c>
      <c r="D130" s="15" t="s">
        <v>33</v>
      </c>
      <c r="E130" s="15"/>
      <c r="F130" s="17">
        <f>F131</f>
        <v>1015</v>
      </c>
      <c r="G130" s="17">
        <f t="shared" si="7"/>
        <v>1015</v>
      </c>
      <c r="H130" s="18"/>
    </row>
    <row r="131" spans="1:8" ht="60">
      <c r="A131" s="16" t="s">
        <v>986</v>
      </c>
      <c r="B131" s="15" t="s">
        <v>1624</v>
      </c>
      <c r="C131" s="15" t="s">
        <v>714</v>
      </c>
      <c r="D131" s="15" t="s">
        <v>987</v>
      </c>
      <c r="E131" s="15"/>
      <c r="F131" s="17">
        <f>F132</f>
        <v>1015</v>
      </c>
      <c r="G131" s="17">
        <f t="shared" si="7"/>
        <v>1015</v>
      </c>
      <c r="H131" s="18"/>
    </row>
    <row r="132" spans="1:8" ht="24">
      <c r="A132" s="155" t="s">
        <v>847</v>
      </c>
      <c r="B132" s="15" t="s">
        <v>1624</v>
      </c>
      <c r="C132" s="15" t="s">
        <v>714</v>
      </c>
      <c r="D132" s="15" t="s">
        <v>987</v>
      </c>
      <c r="E132" s="15" t="s">
        <v>1644</v>
      </c>
      <c r="F132" s="17">
        <f>F133</f>
        <v>1015</v>
      </c>
      <c r="G132" s="17">
        <f t="shared" si="7"/>
        <v>1015</v>
      </c>
      <c r="H132" s="18"/>
    </row>
    <row r="133" spans="1:8" ht="36">
      <c r="A133" s="155" t="s">
        <v>848</v>
      </c>
      <c r="B133" s="15" t="s">
        <v>1624</v>
      </c>
      <c r="C133" s="15" t="s">
        <v>714</v>
      </c>
      <c r="D133" s="15" t="s">
        <v>987</v>
      </c>
      <c r="E133" s="15" t="s">
        <v>846</v>
      </c>
      <c r="F133" s="77">
        <v>1015</v>
      </c>
      <c r="G133" s="17">
        <f t="shared" si="7"/>
        <v>1015</v>
      </c>
      <c r="H133" s="18"/>
    </row>
    <row r="134" spans="1:8" ht="24" hidden="1">
      <c r="A134" s="31" t="s">
        <v>1664</v>
      </c>
      <c r="B134" s="15" t="s">
        <v>1624</v>
      </c>
      <c r="C134" s="15" t="s">
        <v>714</v>
      </c>
      <c r="D134" s="15" t="s">
        <v>1663</v>
      </c>
      <c r="E134" s="15"/>
      <c r="F134" s="17">
        <f>F135</f>
        <v>0</v>
      </c>
      <c r="G134" s="17">
        <f t="shared" si="7"/>
        <v>0</v>
      </c>
      <c r="H134" s="18"/>
    </row>
    <row r="135" spans="1:8" ht="84.75" hidden="1">
      <c r="A135" s="86" t="s">
        <v>26</v>
      </c>
      <c r="B135" s="15" t="s">
        <v>1624</v>
      </c>
      <c r="C135" s="15" t="s">
        <v>714</v>
      </c>
      <c r="D135" s="15" t="s">
        <v>27</v>
      </c>
      <c r="E135" s="15" t="s">
        <v>575</v>
      </c>
      <c r="F135" s="18">
        <f>F136</f>
        <v>0</v>
      </c>
      <c r="G135" s="17">
        <f t="shared" si="7"/>
        <v>0</v>
      </c>
      <c r="H135" s="18"/>
    </row>
    <row r="136" spans="1:8" ht="24.75" hidden="1">
      <c r="A136" s="16" t="s">
        <v>1019</v>
      </c>
      <c r="B136" s="15" t="s">
        <v>1624</v>
      </c>
      <c r="C136" s="15" t="s">
        <v>714</v>
      </c>
      <c r="D136" s="15" t="s">
        <v>27</v>
      </c>
      <c r="E136" s="15" t="s">
        <v>1644</v>
      </c>
      <c r="F136" s="18">
        <f>2342.4-2342.4</f>
        <v>0</v>
      </c>
      <c r="G136" s="17">
        <f t="shared" si="7"/>
        <v>0</v>
      </c>
      <c r="H136" s="18"/>
    </row>
    <row r="137" spans="1:8" ht="15.75">
      <c r="A137" s="22" t="s">
        <v>781</v>
      </c>
      <c r="B137" s="19" t="s">
        <v>923</v>
      </c>
      <c r="C137" s="15"/>
      <c r="D137" s="15"/>
      <c r="E137" s="15"/>
      <c r="F137" s="76">
        <f aca="true" t="shared" si="8" ref="F137:H139">F138</f>
        <v>120</v>
      </c>
      <c r="G137" s="76">
        <f t="shared" si="8"/>
        <v>120</v>
      </c>
      <c r="H137" s="17">
        <f t="shared" si="8"/>
        <v>0</v>
      </c>
    </row>
    <row r="138" spans="1:8" ht="24">
      <c r="A138" s="29" t="s">
        <v>363</v>
      </c>
      <c r="B138" s="15" t="s">
        <v>923</v>
      </c>
      <c r="C138" s="15" t="s">
        <v>439</v>
      </c>
      <c r="D138" s="15"/>
      <c r="E138" s="15"/>
      <c r="F138" s="17">
        <f t="shared" si="8"/>
        <v>120</v>
      </c>
      <c r="G138" s="17">
        <f t="shared" si="8"/>
        <v>120</v>
      </c>
      <c r="H138" s="17">
        <f t="shared" si="8"/>
        <v>0</v>
      </c>
    </row>
    <row r="139" spans="1:8" ht="24">
      <c r="A139" s="30" t="s">
        <v>782</v>
      </c>
      <c r="B139" s="15" t="s">
        <v>923</v>
      </c>
      <c r="C139" s="15" t="s">
        <v>439</v>
      </c>
      <c r="D139" s="15" t="s">
        <v>783</v>
      </c>
      <c r="E139" s="15"/>
      <c r="F139" s="17">
        <f t="shared" si="8"/>
        <v>120</v>
      </c>
      <c r="G139" s="17">
        <f t="shared" si="8"/>
        <v>120</v>
      </c>
      <c r="H139" s="17">
        <f t="shared" si="8"/>
        <v>0</v>
      </c>
    </row>
    <row r="140" spans="1:8" ht="24">
      <c r="A140" s="16" t="s">
        <v>1371</v>
      </c>
      <c r="B140" s="15" t="s">
        <v>923</v>
      </c>
      <c r="C140" s="15" t="s">
        <v>439</v>
      </c>
      <c r="D140" s="15" t="s">
        <v>364</v>
      </c>
      <c r="E140" s="15" t="s">
        <v>575</v>
      </c>
      <c r="F140" s="17">
        <f>F141</f>
        <v>120</v>
      </c>
      <c r="G140" s="17">
        <f>F140-H140</f>
        <v>120</v>
      </c>
      <c r="H140" s="18"/>
    </row>
    <row r="141" spans="1:8" ht="24">
      <c r="A141" s="155" t="s">
        <v>172</v>
      </c>
      <c r="B141" s="15" t="s">
        <v>923</v>
      </c>
      <c r="C141" s="15" t="s">
        <v>439</v>
      </c>
      <c r="D141" s="15" t="s">
        <v>364</v>
      </c>
      <c r="E141" s="15" t="s">
        <v>1644</v>
      </c>
      <c r="F141" s="17">
        <f>F142</f>
        <v>120</v>
      </c>
      <c r="G141" s="17">
        <f>F141-H141</f>
        <v>120</v>
      </c>
      <c r="H141" s="18"/>
    </row>
    <row r="142" spans="1:8" ht="24">
      <c r="A142" s="155" t="s">
        <v>1535</v>
      </c>
      <c r="B142" s="15" t="s">
        <v>923</v>
      </c>
      <c r="C142" s="15" t="s">
        <v>439</v>
      </c>
      <c r="D142" s="15" t="s">
        <v>364</v>
      </c>
      <c r="E142" s="15" t="s">
        <v>1536</v>
      </c>
      <c r="F142" s="18">
        <v>120</v>
      </c>
      <c r="G142" s="17">
        <f>F142-H142</f>
        <v>120</v>
      </c>
      <c r="H142" s="18"/>
    </row>
    <row r="143" spans="1:8" ht="38.25">
      <c r="A143" s="22" t="s">
        <v>1642</v>
      </c>
      <c r="B143" s="19" t="s">
        <v>1653</v>
      </c>
      <c r="C143" s="15"/>
      <c r="D143" s="15"/>
      <c r="E143" s="15"/>
      <c r="F143" s="20">
        <f>F144+F155+F159</f>
        <v>17634.6</v>
      </c>
      <c r="G143" s="20">
        <f>G144+G155+G159</f>
        <v>17634.6</v>
      </c>
      <c r="H143" s="20">
        <f>H144+H155+H159</f>
        <v>0</v>
      </c>
    </row>
    <row r="144" spans="1:8" ht="48">
      <c r="A144" s="29" t="s">
        <v>1575</v>
      </c>
      <c r="B144" s="15" t="s">
        <v>1653</v>
      </c>
      <c r="C144" s="15" t="s">
        <v>1652</v>
      </c>
      <c r="D144" s="15"/>
      <c r="E144" s="15"/>
      <c r="F144" s="17">
        <f>F145+F149</f>
        <v>7476.799999999999</v>
      </c>
      <c r="G144" s="17">
        <f>G145+G149</f>
        <v>7476.799999999999</v>
      </c>
      <c r="H144" s="17">
        <f>H145+H149</f>
        <v>0</v>
      </c>
    </row>
    <row r="145" spans="1:8" ht="36" hidden="1">
      <c r="A145" s="30" t="s">
        <v>183</v>
      </c>
      <c r="B145" s="15" t="s">
        <v>1653</v>
      </c>
      <c r="C145" s="15" t="s">
        <v>1652</v>
      </c>
      <c r="D145" s="15" t="s">
        <v>184</v>
      </c>
      <c r="E145" s="15"/>
      <c r="F145" s="17">
        <f>F146</f>
        <v>0</v>
      </c>
      <c r="G145" s="17">
        <f>G146</f>
        <v>0</v>
      </c>
      <c r="H145" s="17">
        <f>H146</f>
        <v>0</v>
      </c>
    </row>
    <row r="146" spans="1:8" ht="41.25" customHeight="1" hidden="1">
      <c r="A146" s="16" t="s">
        <v>713</v>
      </c>
      <c r="B146" s="15" t="s">
        <v>1653</v>
      </c>
      <c r="C146" s="15" t="s">
        <v>1652</v>
      </c>
      <c r="D146" s="15" t="s">
        <v>468</v>
      </c>
      <c r="E146" s="15" t="s">
        <v>575</v>
      </c>
      <c r="F146" s="17">
        <f>F147</f>
        <v>0</v>
      </c>
      <c r="G146" s="17">
        <f>F146-H146</f>
        <v>0</v>
      </c>
      <c r="H146" s="18"/>
    </row>
    <row r="147" spans="1:8" ht="26.25" customHeight="1" hidden="1">
      <c r="A147" s="155" t="s">
        <v>172</v>
      </c>
      <c r="B147" s="15" t="s">
        <v>1653</v>
      </c>
      <c r="C147" s="15" t="s">
        <v>1652</v>
      </c>
      <c r="D147" s="15" t="s">
        <v>468</v>
      </c>
      <c r="E147" s="15" t="s">
        <v>1644</v>
      </c>
      <c r="F147" s="17">
        <f>F148</f>
        <v>0</v>
      </c>
      <c r="G147" s="17">
        <f>F147-H147</f>
        <v>0</v>
      </c>
      <c r="H147" s="18"/>
    </row>
    <row r="148" spans="1:8" ht="26.25" customHeight="1" hidden="1">
      <c r="A148" s="155" t="s">
        <v>1535</v>
      </c>
      <c r="B148" s="15" t="s">
        <v>1653</v>
      </c>
      <c r="C148" s="15" t="s">
        <v>1652</v>
      </c>
      <c r="D148" s="15" t="s">
        <v>468</v>
      </c>
      <c r="E148" s="15" t="s">
        <v>1536</v>
      </c>
      <c r="F148" s="18">
        <f>200-200</f>
        <v>0</v>
      </c>
      <c r="G148" s="17">
        <f>F148-H148</f>
        <v>0</v>
      </c>
      <c r="H148" s="18"/>
    </row>
    <row r="149" spans="1:8" ht="15">
      <c r="A149" s="30" t="s">
        <v>438</v>
      </c>
      <c r="B149" s="15" t="s">
        <v>1653</v>
      </c>
      <c r="C149" s="15" t="s">
        <v>1652</v>
      </c>
      <c r="D149" s="15" t="s">
        <v>1645</v>
      </c>
      <c r="E149" s="15"/>
      <c r="F149" s="17">
        <f>F150</f>
        <v>7476.799999999999</v>
      </c>
      <c r="G149" s="17">
        <f>G150</f>
        <v>7476.799999999999</v>
      </c>
      <c r="H149" s="17">
        <f>H150</f>
        <v>0</v>
      </c>
    </row>
    <row r="150" spans="1:8" ht="36">
      <c r="A150" s="16" t="s">
        <v>487</v>
      </c>
      <c r="B150" s="15" t="s">
        <v>1653</v>
      </c>
      <c r="C150" s="15" t="s">
        <v>1652</v>
      </c>
      <c r="D150" s="15" t="s">
        <v>469</v>
      </c>
      <c r="E150" s="15" t="s">
        <v>575</v>
      </c>
      <c r="F150" s="17">
        <f>F151+F154</f>
        <v>7476.799999999999</v>
      </c>
      <c r="G150" s="17">
        <f>F150-H150</f>
        <v>7476.799999999999</v>
      </c>
      <c r="H150" s="18"/>
    </row>
    <row r="151" spans="1:8" ht="24">
      <c r="A151" s="155" t="s">
        <v>172</v>
      </c>
      <c r="B151" s="15" t="s">
        <v>1653</v>
      </c>
      <c r="C151" s="15" t="s">
        <v>1652</v>
      </c>
      <c r="D151" s="15" t="s">
        <v>469</v>
      </c>
      <c r="E151" s="15" t="s">
        <v>1644</v>
      </c>
      <c r="F151" s="17">
        <f>F153+F152</f>
        <v>7081.799999999999</v>
      </c>
      <c r="G151" s="17">
        <f>F151-H151</f>
        <v>7081.799999999999</v>
      </c>
      <c r="H151" s="18"/>
    </row>
    <row r="152" spans="1:8" ht="36.75" hidden="1">
      <c r="A152" s="155" t="s">
        <v>848</v>
      </c>
      <c r="B152" s="15" t="s">
        <v>1653</v>
      </c>
      <c r="C152" s="15" t="s">
        <v>1652</v>
      </c>
      <c r="D152" s="15" t="s">
        <v>469</v>
      </c>
      <c r="E152" s="15" t="s">
        <v>846</v>
      </c>
      <c r="F152" s="18">
        <v>0</v>
      </c>
      <c r="G152" s="17">
        <f>F152-H152</f>
        <v>0</v>
      </c>
      <c r="H152" s="18"/>
    </row>
    <row r="153" spans="1:8" ht="24">
      <c r="A153" s="155" t="s">
        <v>1535</v>
      </c>
      <c r="B153" s="15" t="s">
        <v>1653</v>
      </c>
      <c r="C153" s="15" t="s">
        <v>1652</v>
      </c>
      <c r="D153" s="15" t="s">
        <v>469</v>
      </c>
      <c r="E153" s="15" t="s">
        <v>1536</v>
      </c>
      <c r="F153" s="18">
        <f>6884.7+197.2-0.1</f>
        <v>7081.799999999999</v>
      </c>
      <c r="G153" s="17">
        <f>F153-H153</f>
        <v>7081.799999999999</v>
      </c>
      <c r="H153" s="18"/>
    </row>
    <row r="154" spans="1:8" ht="24">
      <c r="A154" s="16" t="s">
        <v>1977</v>
      </c>
      <c r="B154" s="15" t="s">
        <v>1653</v>
      </c>
      <c r="C154" s="15" t="s">
        <v>1652</v>
      </c>
      <c r="D154" s="15" t="s">
        <v>469</v>
      </c>
      <c r="E154" s="15" t="s">
        <v>1978</v>
      </c>
      <c r="F154" s="18">
        <f>1000-550-55</f>
        <v>395</v>
      </c>
      <c r="G154" s="17">
        <f>F154-H154</f>
        <v>395</v>
      </c>
      <c r="H154" s="18"/>
    </row>
    <row r="155" spans="1:8" ht="15.75" hidden="1">
      <c r="A155" s="29" t="s">
        <v>470</v>
      </c>
      <c r="B155" s="15" t="s">
        <v>1653</v>
      </c>
      <c r="C155" s="15" t="s">
        <v>1650</v>
      </c>
      <c r="D155" s="15"/>
      <c r="E155" s="15"/>
      <c r="F155" s="17">
        <f aca="true" t="shared" si="9" ref="F155:H156">F156</f>
        <v>0</v>
      </c>
      <c r="G155" s="17">
        <f t="shared" si="9"/>
        <v>0</v>
      </c>
      <c r="H155" s="17">
        <f t="shared" si="9"/>
        <v>0</v>
      </c>
    </row>
    <row r="156" spans="1:8" ht="36" hidden="1">
      <c r="A156" s="30" t="s">
        <v>429</v>
      </c>
      <c r="B156" s="15" t="s">
        <v>1653</v>
      </c>
      <c r="C156" s="15" t="s">
        <v>1650</v>
      </c>
      <c r="D156" s="15" t="s">
        <v>1531</v>
      </c>
      <c r="E156" s="15"/>
      <c r="F156" s="17">
        <f t="shared" si="9"/>
        <v>0</v>
      </c>
      <c r="G156" s="17">
        <f t="shared" si="9"/>
        <v>0</v>
      </c>
      <c r="H156" s="17">
        <f t="shared" si="9"/>
        <v>0</v>
      </c>
    </row>
    <row r="157" spans="1:8" ht="24.75" hidden="1">
      <c r="A157" s="16" t="s">
        <v>2002</v>
      </c>
      <c r="B157" s="15" t="s">
        <v>1653</v>
      </c>
      <c r="C157" s="15" t="s">
        <v>1650</v>
      </c>
      <c r="D157" s="15" t="s">
        <v>430</v>
      </c>
      <c r="E157" s="15" t="s">
        <v>575</v>
      </c>
      <c r="F157" s="17">
        <f>F158</f>
        <v>0</v>
      </c>
      <c r="G157" s="17">
        <f>F157-H157</f>
        <v>0</v>
      </c>
      <c r="H157" s="18"/>
    </row>
    <row r="158" spans="1:8" ht="24.75" hidden="1">
      <c r="A158" s="16" t="s">
        <v>359</v>
      </c>
      <c r="B158" s="15" t="s">
        <v>1653</v>
      </c>
      <c r="C158" s="15" t="s">
        <v>1650</v>
      </c>
      <c r="D158" s="15" t="s">
        <v>430</v>
      </c>
      <c r="E158" s="15" t="s">
        <v>360</v>
      </c>
      <c r="F158" s="18"/>
      <c r="G158" s="17">
        <f>F158-H158</f>
        <v>0</v>
      </c>
      <c r="H158" s="18"/>
    </row>
    <row r="159" spans="1:8" ht="36">
      <c r="A159" s="29" t="s">
        <v>96</v>
      </c>
      <c r="B159" s="15" t="s">
        <v>1653</v>
      </c>
      <c r="C159" s="15" t="s">
        <v>1143</v>
      </c>
      <c r="D159" s="15"/>
      <c r="E159" s="15"/>
      <c r="F159" s="17">
        <f>F160+F165</f>
        <v>10157.8</v>
      </c>
      <c r="G159" s="17">
        <f>G160+F165</f>
        <v>10157.8</v>
      </c>
      <c r="H159" s="17">
        <f>H160</f>
        <v>0</v>
      </c>
    </row>
    <row r="160" spans="1:8" ht="36">
      <c r="A160" s="31" t="s">
        <v>429</v>
      </c>
      <c r="B160" s="15" t="s">
        <v>1653</v>
      </c>
      <c r="C160" s="15" t="s">
        <v>1143</v>
      </c>
      <c r="D160" s="15" t="s">
        <v>1531</v>
      </c>
      <c r="E160" s="15"/>
      <c r="F160" s="17">
        <f>F161+F163</f>
        <v>237.8</v>
      </c>
      <c r="G160" s="17">
        <f>G161+G163</f>
        <v>237.8</v>
      </c>
      <c r="H160" s="17">
        <f>H161+H165</f>
        <v>0</v>
      </c>
    </row>
    <row r="161" spans="1:8" ht="24">
      <c r="A161" s="155" t="s">
        <v>172</v>
      </c>
      <c r="B161" s="15" t="s">
        <v>1653</v>
      </c>
      <c r="C161" s="15" t="s">
        <v>1143</v>
      </c>
      <c r="D161" s="15" t="s">
        <v>1531</v>
      </c>
      <c r="E161" s="15" t="s">
        <v>1644</v>
      </c>
      <c r="F161" s="17">
        <f>F162</f>
        <v>237.8</v>
      </c>
      <c r="G161" s="17">
        <f>F161-H161</f>
        <v>237.8</v>
      </c>
      <c r="H161" s="18"/>
    </row>
    <row r="162" spans="1:8" ht="24">
      <c r="A162" s="155" t="s">
        <v>1535</v>
      </c>
      <c r="B162" s="15" t="s">
        <v>1653</v>
      </c>
      <c r="C162" s="15" t="s">
        <v>1143</v>
      </c>
      <c r="D162" s="15" t="s">
        <v>1531</v>
      </c>
      <c r="E162" s="15" t="s">
        <v>1536</v>
      </c>
      <c r="F162" s="18">
        <f>560-400-142.2+200+20</f>
        <v>237.8</v>
      </c>
      <c r="G162" s="17">
        <f>F162-H162</f>
        <v>237.8</v>
      </c>
      <c r="H162" s="18"/>
    </row>
    <row r="163" spans="1:8" ht="24" hidden="1">
      <c r="A163" s="16" t="s">
        <v>2002</v>
      </c>
      <c r="B163" s="15" t="s">
        <v>1653</v>
      </c>
      <c r="C163" s="15" t="s">
        <v>1143</v>
      </c>
      <c r="D163" s="15" t="s">
        <v>430</v>
      </c>
      <c r="E163" s="15"/>
      <c r="F163" s="17">
        <f>F164</f>
        <v>0</v>
      </c>
      <c r="G163" s="17">
        <f>G164</f>
        <v>0</v>
      </c>
      <c r="H163" s="18"/>
    </row>
    <row r="164" spans="1:8" ht="24.75" hidden="1">
      <c r="A164" s="16" t="s">
        <v>359</v>
      </c>
      <c r="B164" s="15" t="s">
        <v>1653</v>
      </c>
      <c r="C164" s="15" t="s">
        <v>1143</v>
      </c>
      <c r="D164" s="15" t="s">
        <v>430</v>
      </c>
      <c r="E164" s="15" t="s">
        <v>360</v>
      </c>
      <c r="F164" s="18"/>
      <c r="G164" s="17">
        <f aca="true" t="shared" si="10" ref="G164:G170">F164-H164</f>
        <v>0</v>
      </c>
      <c r="H164" s="18"/>
    </row>
    <row r="165" spans="1:8" ht="24">
      <c r="A165" s="31" t="s">
        <v>1664</v>
      </c>
      <c r="B165" s="15" t="s">
        <v>1653</v>
      </c>
      <c r="C165" s="15" t="s">
        <v>1143</v>
      </c>
      <c r="D165" s="15" t="s">
        <v>1663</v>
      </c>
      <c r="E165" s="15"/>
      <c r="F165" s="17">
        <f>F166</f>
        <v>9920</v>
      </c>
      <c r="G165" s="17">
        <f t="shared" si="10"/>
        <v>9920</v>
      </c>
      <c r="H165" s="18"/>
    </row>
    <row r="166" spans="1:8" ht="48">
      <c r="A166" s="27" t="s">
        <v>720</v>
      </c>
      <c r="B166" s="15" t="s">
        <v>1653</v>
      </c>
      <c r="C166" s="15" t="s">
        <v>1143</v>
      </c>
      <c r="D166" s="15" t="s">
        <v>853</v>
      </c>
      <c r="E166" s="15" t="s">
        <v>575</v>
      </c>
      <c r="F166" s="17">
        <f>F167+F169+F170</f>
        <v>9920</v>
      </c>
      <c r="G166" s="17">
        <f t="shared" si="10"/>
        <v>9920</v>
      </c>
      <c r="H166" s="18"/>
    </row>
    <row r="167" spans="1:8" ht="24">
      <c r="A167" s="155" t="s">
        <v>172</v>
      </c>
      <c r="B167" s="15" t="s">
        <v>1653</v>
      </c>
      <c r="C167" s="15" t="s">
        <v>1143</v>
      </c>
      <c r="D167" s="15" t="s">
        <v>853</v>
      </c>
      <c r="E167" s="15" t="s">
        <v>1644</v>
      </c>
      <c r="F167" s="17">
        <f>F168</f>
        <v>8316</v>
      </c>
      <c r="G167" s="17">
        <f t="shared" si="10"/>
        <v>8316</v>
      </c>
      <c r="H167" s="18"/>
    </row>
    <row r="168" spans="1:8" ht="24">
      <c r="A168" s="155" t="s">
        <v>1535</v>
      </c>
      <c r="B168" s="15" t="s">
        <v>1653</v>
      </c>
      <c r="C168" s="15" t="s">
        <v>1143</v>
      </c>
      <c r="D168" s="15" t="s">
        <v>853</v>
      </c>
      <c r="E168" s="15" t="s">
        <v>1536</v>
      </c>
      <c r="F168" s="18">
        <f>4316+2000+2000</f>
        <v>8316</v>
      </c>
      <c r="G168" s="17">
        <f t="shared" si="10"/>
        <v>8316</v>
      </c>
      <c r="H168" s="18"/>
    </row>
    <row r="169" spans="1:8" ht="24.75" hidden="1">
      <c r="A169" s="27" t="s">
        <v>166</v>
      </c>
      <c r="B169" s="15" t="s">
        <v>1653</v>
      </c>
      <c r="C169" s="15" t="s">
        <v>1143</v>
      </c>
      <c r="D169" s="15" t="s">
        <v>853</v>
      </c>
      <c r="E169" s="15" t="s">
        <v>738</v>
      </c>
      <c r="F169" s="18"/>
      <c r="G169" s="17">
        <f t="shared" si="10"/>
        <v>0</v>
      </c>
      <c r="H169" s="18"/>
    </row>
    <row r="170" spans="1:8" ht="24">
      <c r="A170" s="16" t="s">
        <v>1977</v>
      </c>
      <c r="B170" s="15" t="s">
        <v>1653</v>
      </c>
      <c r="C170" s="15" t="s">
        <v>1143</v>
      </c>
      <c r="D170" s="15" t="s">
        <v>853</v>
      </c>
      <c r="E170" s="15" t="s">
        <v>1978</v>
      </c>
      <c r="F170" s="18">
        <v>1604</v>
      </c>
      <c r="G170" s="17">
        <f t="shared" si="10"/>
        <v>1604</v>
      </c>
      <c r="H170" s="18"/>
    </row>
    <row r="171" spans="1:8" ht="23.25" customHeight="1">
      <c r="A171" s="22" t="s">
        <v>985</v>
      </c>
      <c r="B171" s="21" t="s">
        <v>439</v>
      </c>
      <c r="C171" s="21"/>
      <c r="D171" s="25"/>
      <c r="E171" s="25"/>
      <c r="F171" s="2">
        <f>F172+F175+F181++F193+F223+F244</f>
        <v>502920</v>
      </c>
      <c r="G171" s="2">
        <f>G172+G175+G181++G193+G223+G244</f>
        <v>499913</v>
      </c>
      <c r="H171" s="2">
        <f>H172+H175+H181++H193+H223+H244</f>
        <v>0</v>
      </c>
    </row>
    <row r="172" spans="1:8" ht="15.75" hidden="1">
      <c r="A172" s="29" t="s">
        <v>498</v>
      </c>
      <c r="B172" s="32" t="s">
        <v>439</v>
      </c>
      <c r="C172" s="32" t="s">
        <v>1648</v>
      </c>
      <c r="D172" s="32"/>
      <c r="E172" s="32"/>
      <c r="F172" s="33">
        <f aca="true" t="shared" si="11" ref="F172:H173">F173</f>
        <v>0</v>
      </c>
      <c r="G172" s="33">
        <f t="shared" si="11"/>
        <v>0</v>
      </c>
      <c r="H172" s="33">
        <f t="shared" si="11"/>
        <v>0</v>
      </c>
    </row>
    <row r="173" spans="1:8" ht="15.75" hidden="1">
      <c r="A173" s="31" t="s">
        <v>225</v>
      </c>
      <c r="B173" s="32" t="s">
        <v>439</v>
      </c>
      <c r="C173" s="32" t="s">
        <v>1648</v>
      </c>
      <c r="D173" s="25" t="s">
        <v>1948</v>
      </c>
      <c r="E173" s="25"/>
      <c r="F173" s="33">
        <f t="shared" si="11"/>
        <v>0</v>
      </c>
      <c r="G173" s="33">
        <f t="shared" si="11"/>
        <v>0</v>
      </c>
      <c r="H173" s="33">
        <f t="shared" si="11"/>
        <v>0</v>
      </c>
    </row>
    <row r="174" spans="1:8" ht="24" hidden="1">
      <c r="A174" s="35" t="s">
        <v>1950</v>
      </c>
      <c r="B174" s="32" t="s">
        <v>439</v>
      </c>
      <c r="C174" s="32" t="s">
        <v>1648</v>
      </c>
      <c r="D174" s="25" t="s">
        <v>1948</v>
      </c>
      <c r="E174" s="25" t="s">
        <v>1949</v>
      </c>
      <c r="F174" s="34"/>
      <c r="G174" s="17">
        <f>F174-H174</f>
        <v>0</v>
      </c>
      <c r="H174" s="34"/>
    </row>
    <row r="175" spans="1:8" ht="15">
      <c r="A175" s="75" t="s">
        <v>442</v>
      </c>
      <c r="B175" s="32" t="s">
        <v>439</v>
      </c>
      <c r="C175" s="32" t="s">
        <v>1651</v>
      </c>
      <c r="D175" s="25"/>
      <c r="E175" s="25"/>
      <c r="F175" s="17">
        <f>F176</f>
        <v>1500</v>
      </c>
      <c r="G175" s="17">
        <f>G176</f>
        <v>1500</v>
      </c>
      <c r="H175" s="34"/>
    </row>
    <row r="176" spans="1:8" ht="15">
      <c r="A176" s="31" t="s">
        <v>808</v>
      </c>
      <c r="B176" s="32" t="s">
        <v>439</v>
      </c>
      <c r="C176" s="32" t="s">
        <v>1651</v>
      </c>
      <c r="D176" s="25" t="s">
        <v>809</v>
      </c>
      <c r="E176" s="25"/>
      <c r="F176" s="17">
        <f>F177</f>
        <v>1500</v>
      </c>
      <c r="G176" s="17">
        <f>G177</f>
        <v>1500</v>
      </c>
      <c r="H176" s="34"/>
    </row>
    <row r="177" spans="1:8" ht="24">
      <c r="A177" s="35" t="s">
        <v>810</v>
      </c>
      <c r="B177" s="32" t="s">
        <v>439</v>
      </c>
      <c r="C177" s="32" t="s">
        <v>1651</v>
      </c>
      <c r="D177" s="25" t="s">
        <v>811</v>
      </c>
      <c r="E177" s="25" t="s">
        <v>575</v>
      </c>
      <c r="F177" s="82">
        <f>F178+F179</f>
        <v>1500</v>
      </c>
      <c r="G177" s="17">
        <f>F177-H177</f>
        <v>1500</v>
      </c>
      <c r="H177" s="34"/>
    </row>
    <row r="178" spans="1:8" ht="24" hidden="1">
      <c r="A178" s="35" t="s">
        <v>1365</v>
      </c>
      <c r="B178" s="32" t="s">
        <v>439</v>
      </c>
      <c r="C178" s="32" t="s">
        <v>1651</v>
      </c>
      <c r="D178" s="25" t="s">
        <v>811</v>
      </c>
      <c r="E178" s="25" t="s">
        <v>1366</v>
      </c>
      <c r="F178" s="53">
        <v>0</v>
      </c>
      <c r="G178" s="17">
        <f>F178-H178</f>
        <v>0</v>
      </c>
      <c r="H178" s="34"/>
    </row>
    <row r="179" spans="1:8" ht="24">
      <c r="A179" s="16" t="s">
        <v>270</v>
      </c>
      <c r="B179" s="32" t="s">
        <v>439</v>
      </c>
      <c r="C179" s="32" t="s">
        <v>1651</v>
      </c>
      <c r="D179" s="25" t="s">
        <v>811</v>
      </c>
      <c r="E179" s="25" t="s">
        <v>271</v>
      </c>
      <c r="F179" s="82">
        <f>F180</f>
        <v>1500</v>
      </c>
      <c r="G179" s="17">
        <f>F179-H179</f>
        <v>1500</v>
      </c>
      <c r="H179" s="34"/>
    </row>
    <row r="180" spans="1:8" ht="24">
      <c r="A180" s="16" t="s">
        <v>269</v>
      </c>
      <c r="B180" s="52" t="s">
        <v>439</v>
      </c>
      <c r="C180" s="52" t="s">
        <v>1651</v>
      </c>
      <c r="D180" s="15" t="s">
        <v>811</v>
      </c>
      <c r="E180" s="15" t="s">
        <v>570</v>
      </c>
      <c r="F180" s="53">
        <f>1000+500</f>
        <v>1500</v>
      </c>
      <c r="G180" s="17">
        <f>F180-H180</f>
        <v>1500</v>
      </c>
      <c r="H180" s="34"/>
    </row>
    <row r="181" spans="1:8" ht="15">
      <c r="A181" s="29" t="s">
        <v>146</v>
      </c>
      <c r="B181" s="15" t="s">
        <v>439</v>
      </c>
      <c r="C181" s="15" t="s">
        <v>1990</v>
      </c>
      <c r="D181" s="15"/>
      <c r="E181" s="15"/>
      <c r="F181" s="17">
        <f>F182+F190</f>
        <v>98260</v>
      </c>
      <c r="G181" s="17">
        <f>F181-H181</f>
        <v>98260</v>
      </c>
      <c r="H181" s="17">
        <f>H182</f>
        <v>0</v>
      </c>
    </row>
    <row r="182" spans="1:8" ht="15">
      <c r="A182" s="31" t="s">
        <v>812</v>
      </c>
      <c r="B182" s="15" t="s">
        <v>439</v>
      </c>
      <c r="C182" s="15" t="s">
        <v>1990</v>
      </c>
      <c r="D182" s="15" t="s">
        <v>813</v>
      </c>
      <c r="E182" s="15"/>
      <c r="F182" s="17">
        <f>F183+F187</f>
        <v>98023</v>
      </c>
      <c r="G182" s="17">
        <f>G183+G187</f>
        <v>98023</v>
      </c>
      <c r="H182" s="17">
        <f>H183</f>
        <v>0</v>
      </c>
    </row>
    <row r="183" spans="1:8" ht="24">
      <c r="A183" s="35" t="s">
        <v>1363</v>
      </c>
      <c r="B183" s="15" t="s">
        <v>439</v>
      </c>
      <c r="C183" s="15" t="s">
        <v>1990</v>
      </c>
      <c r="D183" s="15" t="s">
        <v>1364</v>
      </c>
      <c r="E183" s="15" t="s">
        <v>575</v>
      </c>
      <c r="F183" s="17">
        <f>F184+F185+F186</f>
        <v>6500</v>
      </c>
      <c r="G183" s="17">
        <f aca="true" t="shared" si="12" ref="G183:G192">F183-H183</f>
        <v>6500</v>
      </c>
      <c r="H183" s="17"/>
    </row>
    <row r="184" spans="1:8" ht="24.75" hidden="1">
      <c r="A184" s="16" t="s">
        <v>1365</v>
      </c>
      <c r="B184" s="15" t="s">
        <v>439</v>
      </c>
      <c r="C184" s="15" t="s">
        <v>1990</v>
      </c>
      <c r="D184" s="15" t="s">
        <v>1364</v>
      </c>
      <c r="E184" s="15" t="s">
        <v>1366</v>
      </c>
      <c r="F184" s="18">
        <v>0</v>
      </c>
      <c r="G184" s="17">
        <f t="shared" si="12"/>
        <v>0</v>
      </c>
      <c r="H184" s="17"/>
    </row>
    <row r="185" spans="1:8" ht="24.75" hidden="1">
      <c r="A185" s="16" t="s">
        <v>230</v>
      </c>
      <c r="B185" s="15" t="s">
        <v>439</v>
      </c>
      <c r="C185" s="15" t="s">
        <v>1990</v>
      </c>
      <c r="D185" s="15" t="s">
        <v>1364</v>
      </c>
      <c r="E185" s="15" t="s">
        <v>17</v>
      </c>
      <c r="F185" s="18"/>
      <c r="G185" s="17">
        <f t="shared" si="12"/>
        <v>0</v>
      </c>
      <c r="H185" s="18"/>
    </row>
    <row r="186" spans="1:8" ht="36.75" customHeight="1">
      <c r="A186" s="16" t="s">
        <v>700</v>
      </c>
      <c r="B186" s="15" t="s">
        <v>439</v>
      </c>
      <c r="C186" s="15" t="s">
        <v>1990</v>
      </c>
      <c r="D186" s="15" t="s">
        <v>1364</v>
      </c>
      <c r="E186" s="15" t="s">
        <v>737</v>
      </c>
      <c r="F186" s="18">
        <v>6500</v>
      </c>
      <c r="G186" s="17">
        <f t="shared" si="12"/>
        <v>6500</v>
      </c>
      <c r="H186" s="18"/>
    </row>
    <row r="187" spans="1:8" ht="54.75" customHeight="1">
      <c r="A187" s="16" t="s">
        <v>979</v>
      </c>
      <c r="B187" s="15" t="s">
        <v>439</v>
      </c>
      <c r="C187" s="15" t="s">
        <v>1990</v>
      </c>
      <c r="D187" s="15" t="s">
        <v>860</v>
      </c>
      <c r="E187" s="15" t="s">
        <v>575</v>
      </c>
      <c r="F187" s="17">
        <f>F188</f>
        <v>91523</v>
      </c>
      <c r="G187" s="17">
        <f>G188</f>
        <v>91523</v>
      </c>
      <c r="H187" s="18"/>
    </row>
    <row r="188" spans="1:8" ht="23.25" customHeight="1">
      <c r="A188" s="155" t="s">
        <v>172</v>
      </c>
      <c r="B188" s="15" t="s">
        <v>439</v>
      </c>
      <c r="C188" s="15" t="s">
        <v>1990</v>
      </c>
      <c r="D188" s="15" t="s">
        <v>860</v>
      </c>
      <c r="E188" s="15" t="s">
        <v>1644</v>
      </c>
      <c r="F188" s="17">
        <f>F189</f>
        <v>91523</v>
      </c>
      <c r="G188" s="17">
        <f t="shared" si="12"/>
        <v>91523</v>
      </c>
      <c r="H188" s="18"/>
    </row>
    <row r="189" spans="1:8" ht="27" customHeight="1">
      <c r="A189" s="155" t="s">
        <v>1535</v>
      </c>
      <c r="B189" s="15" t="s">
        <v>439</v>
      </c>
      <c r="C189" s="15" t="s">
        <v>1990</v>
      </c>
      <c r="D189" s="15" t="s">
        <v>860</v>
      </c>
      <c r="E189" s="15" t="s">
        <v>1536</v>
      </c>
      <c r="F189" s="18">
        <v>91523</v>
      </c>
      <c r="G189" s="17">
        <f t="shared" si="12"/>
        <v>91523</v>
      </c>
      <c r="H189" s="18"/>
    </row>
    <row r="190" spans="1:8" ht="63.75" customHeight="1">
      <c r="A190" s="16" t="s">
        <v>602</v>
      </c>
      <c r="B190" s="15" t="s">
        <v>439</v>
      </c>
      <c r="C190" s="15" t="s">
        <v>1990</v>
      </c>
      <c r="D190" s="15" t="s">
        <v>603</v>
      </c>
      <c r="E190" s="15" t="s">
        <v>575</v>
      </c>
      <c r="F190" s="17">
        <f>F191</f>
        <v>237</v>
      </c>
      <c r="G190" s="17">
        <f t="shared" si="12"/>
        <v>237</v>
      </c>
      <c r="H190" s="17"/>
    </row>
    <row r="191" spans="1:8" ht="27" customHeight="1">
      <c r="A191" s="155" t="s">
        <v>172</v>
      </c>
      <c r="B191" s="15" t="s">
        <v>439</v>
      </c>
      <c r="C191" s="15" t="s">
        <v>1990</v>
      </c>
      <c r="D191" s="15" t="s">
        <v>603</v>
      </c>
      <c r="E191" s="15" t="s">
        <v>1644</v>
      </c>
      <c r="F191" s="17">
        <f>F192</f>
        <v>237</v>
      </c>
      <c r="G191" s="17">
        <f t="shared" si="12"/>
        <v>237</v>
      </c>
      <c r="H191" s="18"/>
    </row>
    <row r="192" spans="1:8" ht="27" customHeight="1">
      <c r="A192" s="155" t="s">
        <v>1535</v>
      </c>
      <c r="B192" s="15" t="s">
        <v>439</v>
      </c>
      <c r="C192" s="15" t="s">
        <v>1990</v>
      </c>
      <c r="D192" s="15" t="s">
        <v>603</v>
      </c>
      <c r="E192" s="15" t="s">
        <v>1536</v>
      </c>
      <c r="F192" s="18">
        <v>237</v>
      </c>
      <c r="G192" s="17">
        <f t="shared" si="12"/>
        <v>237</v>
      </c>
      <c r="H192" s="18"/>
    </row>
    <row r="193" spans="1:8" ht="24">
      <c r="A193" s="75" t="s">
        <v>598</v>
      </c>
      <c r="B193" s="15" t="s">
        <v>439</v>
      </c>
      <c r="C193" s="15" t="s">
        <v>1652</v>
      </c>
      <c r="D193" s="15"/>
      <c r="E193" s="15"/>
      <c r="F193" s="17">
        <f>F194+F197+F209+F212</f>
        <v>365208</v>
      </c>
      <c r="G193" s="17">
        <f>G194+G197+G209+G212</f>
        <v>365208</v>
      </c>
      <c r="H193" s="17">
        <f>H194+H197+H209+H212</f>
        <v>0</v>
      </c>
    </row>
    <row r="194" spans="1:8" ht="36.75" hidden="1">
      <c r="A194" s="62" t="s">
        <v>427</v>
      </c>
      <c r="B194" s="15" t="s">
        <v>439</v>
      </c>
      <c r="C194" s="15" t="s">
        <v>1652</v>
      </c>
      <c r="D194" s="15" t="s">
        <v>102</v>
      </c>
      <c r="E194" s="15"/>
      <c r="F194" s="17">
        <f>F195</f>
        <v>0</v>
      </c>
      <c r="G194" s="17">
        <f>F194-H194</f>
        <v>0</v>
      </c>
      <c r="H194" s="18"/>
    </row>
    <row r="195" spans="1:8" ht="36.75" hidden="1">
      <c r="A195" s="62" t="s">
        <v>14</v>
      </c>
      <c r="B195" s="15" t="s">
        <v>439</v>
      </c>
      <c r="C195" s="15" t="s">
        <v>1652</v>
      </c>
      <c r="D195" s="15" t="s">
        <v>15</v>
      </c>
      <c r="E195" s="15" t="s">
        <v>575</v>
      </c>
      <c r="F195" s="17">
        <f>F196</f>
        <v>0</v>
      </c>
      <c r="G195" s="17">
        <f>F195-H195</f>
        <v>0</v>
      </c>
      <c r="H195" s="18"/>
    </row>
    <row r="196" spans="1:8" ht="24.75" hidden="1">
      <c r="A196" s="62" t="s">
        <v>166</v>
      </c>
      <c r="B196" s="15" t="s">
        <v>439</v>
      </c>
      <c r="C196" s="15" t="s">
        <v>1652</v>
      </c>
      <c r="D196" s="15" t="s">
        <v>15</v>
      </c>
      <c r="E196" s="15" t="s">
        <v>167</v>
      </c>
      <c r="F196" s="18"/>
      <c r="G196" s="17">
        <f>F196-H196</f>
        <v>0</v>
      </c>
      <c r="H196" s="18"/>
    </row>
    <row r="197" spans="1:8" ht="15">
      <c r="A197" s="31" t="s">
        <v>147</v>
      </c>
      <c r="B197" s="15" t="s">
        <v>439</v>
      </c>
      <c r="C197" s="15" t="s">
        <v>1652</v>
      </c>
      <c r="D197" s="15" t="s">
        <v>148</v>
      </c>
      <c r="E197" s="15"/>
      <c r="F197" s="17">
        <f>F204+F198</f>
        <v>2589.6</v>
      </c>
      <c r="G197" s="17">
        <f>F197-H197</f>
        <v>2589.6</v>
      </c>
      <c r="H197" s="18"/>
    </row>
    <row r="198" spans="1:8" ht="24">
      <c r="A198" s="35" t="s">
        <v>2013</v>
      </c>
      <c r="B198" s="15" t="s">
        <v>439</v>
      </c>
      <c r="C198" s="15" t="s">
        <v>1652</v>
      </c>
      <c r="D198" s="15" t="s">
        <v>2014</v>
      </c>
      <c r="E198" s="15" t="s">
        <v>575</v>
      </c>
      <c r="F198" s="17">
        <f>F199+F202</f>
        <v>2589.6</v>
      </c>
      <c r="G198" s="17">
        <f>F198-H198</f>
        <v>2589.6</v>
      </c>
      <c r="H198" s="18"/>
    </row>
    <row r="199" spans="1:8" ht="24">
      <c r="A199" s="155" t="s">
        <v>172</v>
      </c>
      <c r="B199" s="15" t="s">
        <v>439</v>
      </c>
      <c r="C199" s="15" t="s">
        <v>1652</v>
      </c>
      <c r="D199" s="15" t="s">
        <v>2014</v>
      </c>
      <c r="E199" s="15" t="s">
        <v>1644</v>
      </c>
      <c r="F199" s="17">
        <f>F200+F201</f>
        <v>2589.6</v>
      </c>
      <c r="G199" s="17">
        <f aca="true" t="shared" si="13" ref="G199:G222">F199-H199</f>
        <v>2589.6</v>
      </c>
      <c r="H199" s="18"/>
    </row>
    <row r="200" spans="1:8" ht="36">
      <c r="A200" s="155" t="s">
        <v>95</v>
      </c>
      <c r="B200" s="15" t="s">
        <v>439</v>
      </c>
      <c r="C200" s="15" t="s">
        <v>1652</v>
      </c>
      <c r="D200" s="15" t="s">
        <v>2014</v>
      </c>
      <c r="E200" s="15" t="s">
        <v>699</v>
      </c>
      <c r="F200" s="18">
        <v>2339.6</v>
      </c>
      <c r="G200" s="17">
        <f t="shared" si="13"/>
        <v>2339.6</v>
      </c>
      <c r="H200" s="18"/>
    </row>
    <row r="201" spans="1:8" ht="24">
      <c r="A201" s="155" t="s">
        <v>1535</v>
      </c>
      <c r="B201" s="15" t="s">
        <v>439</v>
      </c>
      <c r="C201" s="15" t="s">
        <v>1652</v>
      </c>
      <c r="D201" s="15" t="s">
        <v>2014</v>
      </c>
      <c r="E201" s="15" t="s">
        <v>1536</v>
      </c>
      <c r="F201" s="18">
        <v>250</v>
      </c>
      <c r="G201" s="17">
        <f t="shared" si="13"/>
        <v>250</v>
      </c>
      <c r="H201" s="18"/>
    </row>
    <row r="202" spans="1:8" ht="24.75" hidden="1">
      <c r="A202" s="16" t="s">
        <v>270</v>
      </c>
      <c r="B202" s="15" t="s">
        <v>439</v>
      </c>
      <c r="C202" s="15" t="s">
        <v>1652</v>
      </c>
      <c r="D202" s="15" t="s">
        <v>2014</v>
      </c>
      <c r="E202" s="15" t="s">
        <v>271</v>
      </c>
      <c r="F202" s="17">
        <f>F203+F207</f>
        <v>0</v>
      </c>
      <c r="G202" s="17">
        <f t="shared" si="13"/>
        <v>0</v>
      </c>
      <c r="H202" s="18"/>
    </row>
    <row r="203" spans="1:8" ht="24.75" hidden="1">
      <c r="A203" s="16" t="s">
        <v>269</v>
      </c>
      <c r="B203" s="15" t="s">
        <v>439</v>
      </c>
      <c r="C203" s="15" t="s">
        <v>1652</v>
      </c>
      <c r="D203" s="15" t="s">
        <v>2014</v>
      </c>
      <c r="E203" s="15" t="s">
        <v>570</v>
      </c>
      <c r="F203" s="77">
        <f>100600+421.7+464-101485.7</f>
        <v>0</v>
      </c>
      <c r="G203" s="17">
        <f t="shared" si="13"/>
        <v>0</v>
      </c>
      <c r="H203" s="18"/>
    </row>
    <row r="204" spans="1:8" ht="48" hidden="1">
      <c r="A204" s="35" t="s">
        <v>464</v>
      </c>
      <c r="B204" s="15" t="s">
        <v>439</v>
      </c>
      <c r="C204" s="15" t="s">
        <v>1652</v>
      </c>
      <c r="D204" s="15" t="s">
        <v>465</v>
      </c>
      <c r="E204" s="15"/>
      <c r="F204" s="17">
        <f>F206+F205</f>
        <v>0</v>
      </c>
      <c r="G204" s="17">
        <f t="shared" si="13"/>
        <v>0</v>
      </c>
      <c r="H204" s="18"/>
    </row>
    <row r="205" spans="1:8" ht="15.75" hidden="1">
      <c r="A205" s="35"/>
      <c r="B205" s="15" t="s">
        <v>439</v>
      </c>
      <c r="C205" s="15" t="s">
        <v>1652</v>
      </c>
      <c r="D205" s="15" t="s">
        <v>465</v>
      </c>
      <c r="E205" s="15"/>
      <c r="F205" s="77"/>
      <c r="G205" s="17">
        <f t="shared" si="13"/>
        <v>0</v>
      </c>
      <c r="H205" s="18"/>
    </row>
    <row r="206" spans="1:8" ht="15.75" hidden="1">
      <c r="A206" s="16"/>
      <c r="B206" s="15" t="s">
        <v>439</v>
      </c>
      <c r="C206" s="15" t="s">
        <v>1652</v>
      </c>
      <c r="D206" s="15"/>
      <c r="E206" s="15"/>
      <c r="F206" s="18"/>
      <c r="G206" s="17">
        <f t="shared" si="13"/>
        <v>0</v>
      </c>
      <c r="H206" s="18"/>
    </row>
    <row r="207" spans="1:8" ht="48" hidden="1">
      <c r="A207" s="16" t="s">
        <v>1979</v>
      </c>
      <c r="B207" s="15" t="s">
        <v>439</v>
      </c>
      <c r="C207" s="15" t="s">
        <v>1652</v>
      </c>
      <c r="D207" s="15" t="s">
        <v>1980</v>
      </c>
      <c r="E207" s="15" t="s">
        <v>575</v>
      </c>
      <c r="F207" s="17">
        <f>F208</f>
        <v>0</v>
      </c>
      <c r="G207" s="17">
        <f t="shared" si="13"/>
        <v>0</v>
      </c>
      <c r="H207" s="18"/>
    </row>
    <row r="208" spans="1:8" ht="24.75" hidden="1">
      <c r="A208" s="16" t="s">
        <v>1537</v>
      </c>
      <c r="B208" s="15" t="s">
        <v>439</v>
      </c>
      <c r="C208" s="15" t="s">
        <v>1652</v>
      </c>
      <c r="D208" s="15" t="s">
        <v>1980</v>
      </c>
      <c r="E208" s="15" t="s">
        <v>180</v>
      </c>
      <c r="F208" s="18"/>
      <c r="G208" s="17">
        <f t="shared" si="13"/>
        <v>0</v>
      </c>
      <c r="H208" s="18"/>
    </row>
    <row r="209" spans="1:8" ht="15">
      <c r="A209" s="31" t="s">
        <v>32</v>
      </c>
      <c r="B209" s="15" t="s">
        <v>439</v>
      </c>
      <c r="C209" s="15" t="s">
        <v>1652</v>
      </c>
      <c r="D209" s="15" t="s">
        <v>33</v>
      </c>
      <c r="E209" s="15"/>
      <c r="F209" s="17">
        <f>F210</f>
        <v>30000</v>
      </c>
      <c r="G209" s="17">
        <f t="shared" si="13"/>
        <v>30000</v>
      </c>
      <c r="H209" s="18"/>
    </row>
    <row r="210" spans="1:8" ht="60">
      <c r="A210" s="16" t="s">
        <v>144</v>
      </c>
      <c r="B210" s="15" t="s">
        <v>439</v>
      </c>
      <c r="C210" s="15" t="s">
        <v>1652</v>
      </c>
      <c r="D210" s="15" t="s">
        <v>142</v>
      </c>
      <c r="E210" s="15" t="s">
        <v>575</v>
      </c>
      <c r="F210" s="17">
        <f>F211</f>
        <v>30000</v>
      </c>
      <c r="G210" s="17">
        <f t="shared" si="13"/>
        <v>30000</v>
      </c>
      <c r="H210" s="18"/>
    </row>
    <row r="211" spans="1:8" ht="36">
      <c r="A211" s="155" t="s">
        <v>95</v>
      </c>
      <c r="B211" s="15" t="s">
        <v>439</v>
      </c>
      <c r="C211" s="15" t="s">
        <v>1652</v>
      </c>
      <c r="D211" s="15" t="s">
        <v>142</v>
      </c>
      <c r="E211" s="15" t="s">
        <v>699</v>
      </c>
      <c r="F211" s="18">
        <v>30000</v>
      </c>
      <c r="G211" s="17">
        <f t="shared" si="13"/>
        <v>30000</v>
      </c>
      <c r="H211" s="18"/>
    </row>
    <row r="212" spans="1:8" ht="24">
      <c r="A212" s="37" t="s">
        <v>1664</v>
      </c>
      <c r="B212" s="15" t="s">
        <v>439</v>
      </c>
      <c r="C212" s="15" t="s">
        <v>1652</v>
      </c>
      <c r="D212" s="15" t="s">
        <v>1663</v>
      </c>
      <c r="E212" s="15"/>
      <c r="F212" s="17">
        <f>F213+F217</f>
        <v>332618.4</v>
      </c>
      <c r="G212" s="17">
        <f t="shared" si="13"/>
        <v>332618.4</v>
      </c>
      <c r="H212" s="18"/>
    </row>
    <row r="213" spans="1:8" ht="39" customHeight="1">
      <c r="A213" s="27" t="s">
        <v>375</v>
      </c>
      <c r="B213" s="15" t="s">
        <v>439</v>
      </c>
      <c r="C213" s="15" t="s">
        <v>1652</v>
      </c>
      <c r="D213" s="15" t="s">
        <v>527</v>
      </c>
      <c r="E213" s="15" t="s">
        <v>575</v>
      </c>
      <c r="F213" s="17">
        <f>F214</f>
        <v>19851.300000000003</v>
      </c>
      <c r="G213" s="17">
        <f t="shared" si="13"/>
        <v>19851.300000000003</v>
      </c>
      <c r="H213" s="18"/>
    </row>
    <row r="214" spans="1:8" ht="32.25" customHeight="1">
      <c r="A214" s="155" t="s">
        <v>172</v>
      </c>
      <c r="B214" s="15" t="s">
        <v>439</v>
      </c>
      <c r="C214" s="15" t="s">
        <v>1652</v>
      </c>
      <c r="D214" s="15" t="s">
        <v>527</v>
      </c>
      <c r="E214" s="15" t="s">
        <v>1644</v>
      </c>
      <c r="F214" s="17">
        <f>F215+F216</f>
        <v>19851.300000000003</v>
      </c>
      <c r="G214" s="17">
        <f t="shared" si="13"/>
        <v>19851.300000000003</v>
      </c>
      <c r="H214" s="18"/>
    </row>
    <row r="215" spans="1:8" ht="38.25" customHeight="1">
      <c r="A215" s="155" t="s">
        <v>95</v>
      </c>
      <c r="B215" s="15" t="s">
        <v>439</v>
      </c>
      <c r="C215" s="15" t="s">
        <v>1652</v>
      </c>
      <c r="D215" s="15" t="s">
        <v>527</v>
      </c>
      <c r="E215" s="15" t="s">
        <v>699</v>
      </c>
      <c r="F215" s="53">
        <f>8815+2385.1+300-209.4</f>
        <v>11290.7</v>
      </c>
      <c r="G215" s="17">
        <f t="shared" si="13"/>
        <v>11290.7</v>
      </c>
      <c r="H215" s="18"/>
    </row>
    <row r="216" spans="1:8" ht="24">
      <c r="A216" s="155" t="s">
        <v>1535</v>
      </c>
      <c r="B216" s="15" t="s">
        <v>439</v>
      </c>
      <c r="C216" s="15" t="s">
        <v>1652</v>
      </c>
      <c r="D216" s="15" t="s">
        <v>527</v>
      </c>
      <c r="E216" s="15" t="s">
        <v>1536</v>
      </c>
      <c r="F216" s="18">
        <f>9185+2143-2000-530.8-236.6</f>
        <v>8560.6</v>
      </c>
      <c r="G216" s="17">
        <f t="shared" si="13"/>
        <v>8560.6</v>
      </c>
      <c r="H216" s="18"/>
    </row>
    <row r="217" spans="1:8" ht="36">
      <c r="A217" s="27" t="s">
        <v>1357</v>
      </c>
      <c r="B217" s="15" t="s">
        <v>439</v>
      </c>
      <c r="C217" s="15" t="s">
        <v>1652</v>
      </c>
      <c r="D217" s="15" t="s">
        <v>1356</v>
      </c>
      <c r="E217" s="15" t="s">
        <v>575</v>
      </c>
      <c r="F217" s="17">
        <f>F218+F221</f>
        <v>312767.10000000003</v>
      </c>
      <c r="G217" s="17">
        <f t="shared" si="13"/>
        <v>312767.10000000003</v>
      </c>
      <c r="H217" s="18"/>
    </row>
    <row r="218" spans="1:8" ht="24">
      <c r="A218" s="155" t="s">
        <v>172</v>
      </c>
      <c r="B218" s="15" t="s">
        <v>439</v>
      </c>
      <c r="C218" s="15" t="s">
        <v>1652</v>
      </c>
      <c r="D218" s="15" t="s">
        <v>1356</v>
      </c>
      <c r="E218" s="15" t="s">
        <v>1644</v>
      </c>
      <c r="F218" s="17">
        <f>F219+F220</f>
        <v>210965.10000000003</v>
      </c>
      <c r="G218" s="17">
        <f t="shared" si="13"/>
        <v>210965.10000000003</v>
      </c>
      <c r="H218" s="18"/>
    </row>
    <row r="219" spans="1:8" ht="36">
      <c r="A219" s="155" t="s">
        <v>95</v>
      </c>
      <c r="B219" s="15" t="s">
        <v>439</v>
      </c>
      <c r="C219" s="15" t="s">
        <v>1652</v>
      </c>
      <c r="D219" s="15" t="s">
        <v>1356</v>
      </c>
      <c r="E219" s="15" t="s">
        <v>699</v>
      </c>
      <c r="F219" s="18">
        <f>198563.6-3110.3+7104.2</f>
        <v>202557.50000000003</v>
      </c>
      <c r="G219" s="17">
        <f t="shared" si="13"/>
        <v>202557.50000000003</v>
      </c>
      <c r="H219" s="18"/>
    </row>
    <row r="220" spans="1:8" ht="24">
      <c r="A220" s="155" t="s">
        <v>1535</v>
      </c>
      <c r="B220" s="15" t="s">
        <v>439</v>
      </c>
      <c r="C220" s="15" t="s">
        <v>1652</v>
      </c>
      <c r="D220" s="15" t="s">
        <v>1356</v>
      </c>
      <c r="E220" s="15" t="s">
        <v>1536</v>
      </c>
      <c r="F220" s="18">
        <f>8591.6-184</f>
        <v>8407.6</v>
      </c>
      <c r="G220" s="17">
        <f t="shared" si="13"/>
        <v>8407.6</v>
      </c>
      <c r="H220" s="18"/>
    </row>
    <row r="221" spans="1:8" ht="24">
      <c r="A221" s="16" t="s">
        <v>270</v>
      </c>
      <c r="B221" s="15" t="s">
        <v>439</v>
      </c>
      <c r="C221" s="15" t="s">
        <v>1652</v>
      </c>
      <c r="D221" s="15" t="s">
        <v>1356</v>
      </c>
      <c r="E221" s="15" t="s">
        <v>271</v>
      </c>
      <c r="F221" s="17">
        <f>F222</f>
        <v>101802</v>
      </c>
      <c r="G221" s="17">
        <f t="shared" si="13"/>
        <v>101802</v>
      </c>
      <c r="H221" s="18"/>
    </row>
    <row r="222" spans="1:8" ht="24">
      <c r="A222" s="16" t="s">
        <v>269</v>
      </c>
      <c r="B222" s="15" t="s">
        <v>439</v>
      </c>
      <c r="C222" s="15" t="s">
        <v>1652</v>
      </c>
      <c r="D222" s="15" t="s">
        <v>1356</v>
      </c>
      <c r="E222" s="15" t="s">
        <v>570</v>
      </c>
      <c r="F222" s="18">
        <f>101801.9+0.1</f>
        <v>101802</v>
      </c>
      <c r="G222" s="17">
        <f t="shared" si="13"/>
        <v>101802</v>
      </c>
      <c r="H222" s="18"/>
    </row>
    <row r="223" spans="1:8" ht="15">
      <c r="A223" s="29" t="s">
        <v>1546</v>
      </c>
      <c r="B223" s="15" t="s">
        <v>439</v>
      </c>
      <c r="C223" s="15" t="s">
        <v>1650</v>
      </c>
      <c r="D223" s="15"/>
      <c r="E223" s="15"/>
      <c r="F223" s="17">
        <f>F224+F232+F239</f>
        <v>22367</v>
      </c>
      <c r="G223" s="17">
        <f>G224+G239</f>
        <v>22367</v>
      </c>
      <c r="H223" s="17">
        <f>H224+H239</f>
        <v>0</v>
      </c>
    </row>
    <row r="224" spans="1:8" ht="15">
      <c r="A224" s="30" t="s">
        <v>1547</v>
      </c>
      <c r="B224" s="15" t="s">
        <v>439</v>
      </c>
      <c r="C224" s="15" t="s">
        <v>1650</v>
      </c>
      <c r="D224" s="15" t="s">
        <v>667</v>
      </c>
      <c r="E224" s="15"/>
      <c r="F224" s="17">
        <f>F225</f>
        <v>18017</v>
      </c>
      <c r="G224" s="17">
        <f>G225</f>
        <v>18017</v>
      </c>
      <c r="H224" s="17">
        <f>H225</f>
        <v>0</v>
      </c>
    </row>
    <row r="225" spans="1:8" ht="24">
      <c r="A225" s="16" t="s">
        <v>270</v>
      </c>
      <c r="B225" s="15" t="s">
        <v>439</v>
      </c>
      <c r="C225" s="15" t="s">
        <v>1650</v>
      </c>
      <c r="D225" s="15" t="s">
        <v>1150</v>
      </c>
      <c r="E225" s="15" t="s">
        <v>271</v>
      </c>
      <c r="F225" s="17">
        <f>F226+F227</f>
        <v>18017</v>
      </c>
      <c r="G225" s="17">
        <f aca="true" t="shared" si="14" ref="G225:G238">F225-H225</f>
        <v>18017</v>
      </c>
      <c r="H225" s="18"/>
    </row>
    <row r="226" spans="1:8" ht="24">
      <c r="A226" s="16" t="s">
        <v>269</v>
      </c>
      <c r="B226" s="15" t="s">
        <v>439</v>
      </c>
      <c r="C226" s="15" t="s">
        <v>1650</v>
      </c>
      <c r="D226" s="15" t="s">
        <v>1150</v>
      </c>
      <c r="E226" s="15" t="s">
        <v>570</v>
      </c>
      <c r="F226" s="18">
        <f>18281-3081+1632+750</f>
        <v>17582</v>
      </c>
      <c r="G226" s="17">
        <f t="shared" si="14"/>
        <v>17582</v>
      </c>
      <c r="H226" s="18"/>
    </row>
    <row r="227" spans="1:8" ht="24">
      <c r="A227" s="16" t="s">
        <v>1997</v>
      </c>
      <c r="B227" s="15" t="s">
        <v>439</v>
      </c>
      <c r="C227" s="15" t="s">
        <v>1650</v>
      </c>
      <c r="D227" s="15" t="s">
        <v>1150</v>
      </c>
      <c r="E227" s="15" t="s">
        <v>180</v>
      </c>
      <c r="F227" s="17">
        <f>F228+F229+F230+F231</f>
        <v>435</v>
      </c>
      <c r="G227" s="17">
        <f t="shared" si="14"/>
        <v>435</v>
      </c>
      <c r="H227" s="18"/>
    </row>
    <row r="228" spans="1:8" ht="24">
      <c r="A228" s="16" t="s">
        <v>1447</v>
      </c>
      <c r="B228" s="15" t="s">
        <v>439</v>
      </c>
      <c r="C228" s="15" t="s">
        <v>1650</v>
      </c>
      <c r="D228" s="15" t="s">
        <v>1150</v>
      </c>
      <c r="E228" s="15" t="s">
        <v>180</v>
      </c>
      <c r="F228" s="18">
        <f>385+50</f>
        <v>435</v>
      </c>
      <c r="G228" s="17">
        <f t="shared" si="14"/>
        <v>435</v>
      </c>
      <c r="H228" s="18"/>
    </row>
    <row r="229" spans="1:8" ht="24.75" hidden="1">
      <c r="A229" s="16" t="s">
        <v>1999</v>
      </c>
      <c r="B229" s="15" t="s">
        <v>439</v>
      </c>
      <c r="C229" s="15" t="s">
        <v>1650</v>
      </c>
      <c r="D229" s="15" t="s">
        <v>1150</v>
      </c>
      <c r="E229" s="15" t="s">
        <v>180</v>
      </c>
      <c r="F229" s="18"/>
      <c r="G229" s="17">
        <f t="shared" si="14"/>
        <v>0</v>
      </c>
      <c r="H229" s="18"/>
    </row>
    <row r="230" spans="1:8" ht="24.75" hidden="1">
      <c r="A230" s="16" t="s">
        <v>2000</v>
      </c>
      <c r="B230" s="15" t="s">
        <v>439</v>
      </c>
      <c r="C230" s="15" t="s">
        <v>1650</v>
      </c>
      <c r="D230" s="15" t="s">
        <v>1150</v>
      </c>
      <c r="E230" s="15" t="s">
        <v>180</v>
      </c>
      <c r="F230" s="18"/>
      <c r="G230" s="17">
        <f t="shared" si="14"/>
        <v>0</v>
      </c>
      <c r="H230" s="18"/>
    </row>
    <row r="231" spans="1:8" ht="60" hidden="1">
      <c r="A231" s="16" t="s">
        <v>1138</v>
      </c>
      <c r="B231" s="15" t="s">
        <v>439</v>
      </c>
      <c r="C231" s="15" t="s">
        <v>1650</v>
      </c>
      <c r="D231" s="15" t="s">
        <v>1150</v>
      </c>
      <c r="E231" s="15" t="s">
        <v>180</v>
      </c>
      <c r="F231" s="18"/>
      <c r="G231" s="17">
        <f t="shared" si="14"/>
        <v>0</v>
      </c>
      <c r="H231" s="18"/>
    </row>
    <row r="232" spans="1:8" ht="96" hidden="1">
      <c r="A232" s="16" t="s">
        <v>1079</v>
      </c>
      <c r="B232" s="15" t="s">
        <v>439</v>
      </c>
      <c r="C232" s="15" t="s">
        <v>1650</v>
      </c>
      <c r="D232" s="15" t="s">
        <v>1080</v>
      </c>
      <c r="E232" s="15" t="s">
        <v>575</v>
      </c>
      <c r="F232" s="17">
        <f>F233+F235+F237</f>
        <v>0</v>
      </c>
      <c r="G232" s="17">
        <f>G233+G235+G237</f>
        <v>0</v>
      </c>
      <c r="H232" s="18"/>
    </row>
    <row r="233" spans="1:8" ht="48" hidden="1">
      <c r="A233" s="16" t="s">
        <v>1660</v>
      </c>
      <c r="B233" s="15" t="s">
        <v>439</v>
      </c>
      <c r="C233" s="15" t="s">
        <v>1650</v>
      </c>
      <c r="D233" s="15" t="s">
        <v>255</v>
      </c>
      <c r="E233" s="15" t="s">
        <v>575</v>
      </c>
      <c r="F233" s="17">
        <f>F234</f>
        <v>0</v>
      </c>
      <c r="G233" s="17">
        <f t="shared" si="14"/>
        <v>0</v>
      </c>
      <c r="H233" s="18"/>
    </row>
    <row r="234" spans="1:8" ht="24.75" hidden="1">
      <c r="A234" s="16" t="s">
        <v>698</v>
      </c>
      <c r="B234" s="15" t="s">
        <v>439</v>
      </c>
      <c r="C234" s="15" t="s">
        <v>1650</v>
      </c>
      <c r="D234" s="15" t="s">
        <v>255</v>
      </c>
      <c r="E234" s="15" t="s">
        <v>463</v>
      </c>
      <c r="F234" s="18"/>
      <c r="G234" s="17">
        <f t="shared" si="14"/>
        <v>0</v>
      </c>
      <c r="H234" s="18"/>
    </row>
    <row r="235" spans="1:8" ht="36" hidden="1">
      <c r="A235" s="16" t="s">
        <v>256</v>
      </c>
      <c r="B235" s="15" t="s">
        <v>439</v>
      </c>
      <c r="C235" s="15" t="s">
        <v>1650</v>
      </c>
      <c r="D235" s="15" t="s">
        <v>257</v>
      </c>
      <c r="E235" s="15" t="s">
        <v>575</v>
      </c>
      <c r="F235" s="17">
        <f>F236</f>
        <v>0</v>
      </c>
      <c r="G235" s="17">
        <f t="shared" si="14"/>
        <v>0</v>
      </c>
      <c r="H235" s="18"/>
    </row>
    <row r="236" spans="1:8" ht="24.75" hidden="1">
      <c r="A236" s="16" t="s">
        <v>698</v>
      </c>
      <c r="B236" s="15" t="s">
        <v>439</v>
      </c>
      <c r="C236" s="15" t="s">
        <v>1650</v>
      </c>
      <c r="D236" s="15" t="s">
        <v>257</v>
      </c>
      <c r="E236" s="15" t="s">
        <v>463</v>
      </c>
      <c r="F236" s="18"/>
      <c r="G236" s="17">
        <f t="shared" si="14"/>
        <v>0</v>
      </c>
      <c r="H236" s="18"/>
    </row>
    <row r="237" spans="1:8" ht="24.75" hidden="1">
      <c r="A237" s="16" t="s">
        <v>258</v>
      </c>
      <c r="B237" s="15" t="s">
        <v>439</v>
      </c>
      <c r="C237" s="15" t="s">
        <v>1650</v>
      </c>
      <c r="D237" s="15" t="s">
        <v>259</v>
      </c>
      <c r="E237" s="15" t="s">
        <v>575</v>
      </c>
      <c r="F237" s="17">
        <f>F238</f>
        <v>0</v>
      </c>
      <c r="G237" s="17">
        <f t="shared" si="14"/>
        <v>0</v>
      </c>
      <c r="H237" s="18"/>
    </row>
    <row r="238" spans="1:8" ht="24.75" hidden="1">
      <c r="A238" s="16" t="s">
        <v>698</v>
      </c>
      <c r="B238" s="15" t="s">
        <v>439</v>
      </c>
      <c r="C238" s="15" t="s">
        <v>1650</v>
      </c>
      <c r="D238" s="15" t="s">
        <v>259</v>
      </c>
      <c r="E238" s="15" t="s">
        <v>463</v>
      </c>
      <c r="F238" s="18"/>
      <c r="G238" s="17">
        <f t="shared" si="14"/>
        <v>0</v>
      </c>
      <c r="H238" s="18"/>
    </row>
    <row r="239" spans="1:8" ht="24">
      <c r="A239" s="31" t="s">
        <v>1664</v>
      </c>
      <c r="B239" s="15" t="s">
        <v>439</v>
      </c>
      <c r="C239" s="15" t="s">
        <v>1650</v>
      </c>
      <c r="D239" s="15" t="s">
        <v>1663</v>
      </c>
      <c r="E239" s="15"/>
      <c r="F239" s="17">
        <f>F240</f>
        <v>4350</v>
      </c>
      <c r="G239" s="17">
        <f>G240</f>
        <v>4350</v>
      </c>
      <c r="H239" s="17">
        <f>H240</f>
        <v>0</v>
      </c>
    </row>
    <row r="240" spans="1:8" ht="81.75" customHeight="1">
      <c r="A240" s="86" t="s">
        <v>379</v>
      </c>
      <c r="B240" s="15" t="s">
        <v>439</v>
      </c>
      <c r="C240" s="15" t="s">
        <v>1650</v>
      </c>
      <c r="D240" s="15" t="s">
        <v>27</v>
      </c>
      <c r="E240" s="24" t="s">
        <v>575</v>
      </c>
      <c r="F240" s="17">
        <f>F241+F243</f>
        <v>4350</v>
      </c>
      <c r="G240" s="17">
        <f>F240-H240</f>
        <v>4350</v>
      </c>
      <c r="H240" s="18"/>
    </row>
    <row r="241" spans="1:8" ht="30" customHeight="1">
      <c r="A241" s="16" t="s">
        <v>1019</v>
      </c>
      <c r="B241" s="15" t="s">
        <v>439</v>
      </c>
      <c r="C241" s="15" t="s">
        <v>1650</v>
      </c>
      <c r="D241" s="15" t="s">
        <v>27</v>
      </c>
      <c r="E241" s="24" t="s">
        <v>1644</v>
      </c>
      <c r="F241" s="17">
        <f>F242</f>
        <v>1550</v>
      </c>
      <c r="G241" s="17">
        <f>F241-H241</f>
        <v>1550</v>
      </c>
      <c r="H241" s="18"/>
    </row>
    <row r="242" spans="1:8" ht="41.25" customHeight="1">
      <c r="A242" s="155" t="s">
        <v>848</v>
      </c>
      <c r="B242" s="15" t="s">
        <v>439</v>
      </c>
      <c r="C242" s="15" t="s">
        <v>1650</v>
      </c>
      <c r="D242" s="15" t="s">
        <v>27</v>
      </c>
      <c r="E242" s="24" t="s">
        <v>846</v>
      </c>
      <c r="F242" s="18">
        <v>1550</v>
      </c>
      <c r="G242" s="17">
        <f>F242-H242</f>
        <v>1550</v>
      </c>
      <c r="H242" s="18"/>
    </row>
    <row r="243" spans="1:8" ht="41.25" customHeight="1">
      <c r="A243" s="16" t="s">
        <v>700</v>
      </c>
      <c r="B243" s="15" t="s">
        <v>439</v>
      </c>
      <c r="C243" s="15" t="s">
        <v>1650</v>
      </c>
      <c r="D243" s="15" t="s">
        <v>27</v>
      </c>
      <c r="E243" s="24" t="s">
        <v>737</v>
      </c>
      <c r="F243" s="18">
        <f>4350-1550</f>
        <v>2800</v>
      </c>
      <c r="G243" s="17">
        <f>F243-H243</f>
        <v>2800</v>
      </c>
      <c r="H243" s="18"/>
    </row>
    <row r="244" spans="1:8" ht="24">
      <c r="A244" s="29" t="s">
        <v>97</v>
      </c>
      <c r="B244" s="15" t="s">
        <v>439</v>
      </c>
      <c r="C244" s="15" t="s">
        <v>1655</v>
      </c>
      <c r="D244" s="15"/>
      <c r="E244" s="24"/>
      <c r="F244" s="17">
        <f>F245+F258+F255</f>
        <v>15585</v>
      </c>
      <c r="G244" s="17">
        <f>G245+G258</f>
        <v>12578</v>
      </c>
      <c r="H244" s="17">
        <f>H245+H258</f>
        <v>0</v>
      </c>
    </row>
    <row r="245" spans="1:8" ht="24">
      <c r="A245" s="30" t="s">
        <v>99</v>
      </c>
      <c r="B245" s="15" t="s">
        <v>439</v>
      </c>
      <c r="C245" s="15" t="s">
        <v>1655</v>
      </c>
      <c r="D245" s="15" t="s">
        <v>100</v>
      </c>
      <c r="E245" s="15"/>
      <c r="F245" s="17">
        <f>F246+F251+F252</f>
        <v>10578</v>
      </c>
      <c r="G245" s="17">
        <f>G246+G250</f>
        <v>10578</v>
      </c>
      <c r="H245" s="17"/>
    </row>
    <row r="246" spans="1:8" ht="24">
      <c r="A246" s="27" t="s">
        <v>715</v>
      </c>
      <c r="B246" s="15" t="s">
        <v>439</v>
      </c>
      <c r="C246" s="15" t="s">
        <v>1655</v>
      </c>
      <c r="D246" s="15" t="s">
        <v>1576</v>
      </c>
      <c r="E246" s="24" t="s">
        <v>575</v>
      </c>
      <c r="F246" s="17">
        <f>F247</f>
        <v>3200</v>
      </c>
      <c r="G246" s="17">
        <f aca="true" t="shared" si="15" ref="G246:G275">F246-H246</f>
        <v>3200</v>
      </c>
      <c r="H246" s="17"/>
    </row>
    <row r="247" spans="1:8" ht="24">
      <c r="A247" s="155" t="s">
        <v>172</v>
      </c>
      <c r="B247" s="15" t="s">
        <v>439</v>
      </c>
      <c r="C247" s="15" t="s">
        <v>1655</v>
      </c>
      <c r="D247" s="15" t="s">
        <v>1576</v>
      </c>
      <c r="E247" s="24" t="s">
        <v>1644</v>
      </c>
      <c r="F247" s="17">
        <f>F248</f>
        <v>3200</v>
      </c>
      <c r="G247" s="17">
        <f t="shared" si="15"/>
        <v>3200</v>
      </c>
      <c r="H247" s="17"/>
    </row>
    <row r="248" spans="1:8" ht="24">
      <c r="A248" s="155" t="s">
        <v>1535</v>
      </c>
      <c r="B248" s="15" t="s">
        <v>439</v>
      </c>
      <c r="C248" s="15" t="s">
        <v>1655</v>
      </c>
      <c r="D248" s="15" t="s">
        <v>1576</v>
      </c>
      <c r="E248" s="24" t="s">
        <v>1536</v>
      </c>
      <c r="F248" s="18">
        <v>3200</v>
      </c>
      <c r="G248" s="17">
        <f t="shared" si="15"/>
        <v>3200</v>
      </c>
      <c r="H248" s="17"/>
    </row>
    <row r="249" spans="1:8" ht="72">
      <c r="A249" s="35" t="s">
        <v>284</v>
      </c>
      <c r="B249" s="15" t="s">
        <v>439</v>
      </c>
      <c r="C249" s="15" t="s">
        <v>1655</v>
      </c>
      <c r="D249" s="15" t="s">
        <v>1152</v>
      </c>
      <c r="E249" s="24" t="s">
        <v>575</v>
      </c>
      <c r="F249" s="17">
        <f>F250</f>
        <v>7378</v>
      </c>
      <c r="G249" s="17">
        <f t="shared" si="15"/>
        <v>7378</v>
      </c>
      <c r="H249" s="17"/>
    </row>
    <row r="250" spans="1:8" ht="24">
      <c r="A250" s="16" t="s">
        <v>270</v>
      </c>
      <c r="B250" s="15" t="s">
        <v>439</v>
      </c>
      <c r="C250" s="15" t="s">
        <v>1655</v>
      </c>
      <c r="D250" s="15" t="s">
        <v>1152</v>
      </c>
      <c r="E250" s="15" t="s">
        <v>271</v>
      </c>
      <c r="F250" s="17">
        <f>F252+F251</f>
        <v>7378</v>
      </c>
      <c r="G250" s="17">
        <f t="shared" si="15"/>
        <v>7378</v>
      </c>
      <c r="H250" s="17"/>
    </row>
    <row r="251" spans="1:8" ht="24">
      <c r="A251" s="16" t="s">
        <v>269</v>
      </c>
      <c r="B251" s="15" t="s">
        <v>439</v>
      </c>
      <c r="C251" s="15" t="s">
        <v>1655</v>
      </c>
      <c r="D251" s="15" t="s">
        <v>1152</v>
      </c>
      <c r="E251" s="15" t="s">
        <v>570</v>
      </c>
      <c r="F251" s="77">
        <v>685</v>
      </c>
      <c r="G251" s="17">
        <f t="shared" si="15"/>
        <v>685</v>
      </c>
      <c r="H251" s="17"/>
    </row>
    <row r="252" spans="1:8" ht="15">
      <c r="A252" s="16" t="s">
        <v>801</v>
      </c>
      <c r="B252" s="15" t="s">
        <v>439</v>
      </c>
      <c r="C252" s="15" t="s">
        <v>1655</v>
      </c>
      <c r="D252" s="15" t="s">
        <v>800</v>
      </c>
      <c r="E252" s="15"/>
      <c r="F252" s="17">
        <f>F253</f>
        <v>6693</v>
      </c>
      <c r="G252" s="17">
        <f t="shared" si="15"/>
        <v>6693</v>
      </c>
      <c r="H252" s="17"/>
    </row>
    <row r="253" spans="1:8" ht="48">
      <c r="A253" s="16" t="s">
        <v>802</v>
      </c>
      <c r="B253" s="15" t="s">
        <v>439</v>
      </c>
      <c r="C253" s="15" t="s">
        <v>1655</v>
      </c>
      <c r="D253" s="15" t="s">
        <v>799</v>
      </c>
      <c r="E253" s="15" t="s">
        <v>575</v>
      </c>
      <c r="F253" s="17">
        <f>F254</f>
        <v>6693</v>
      </c>
      <c r="G253" s="17">
        <f t="shared" si="15"/>
        <v>6693</v>
      </c>
      <c r="H253" s="17"/>
    </row>
    <row r="254" spans="1:8" ht="48">
      <c r="A254" s="16" t="s">
        <v>127</v>
      </c>
      <c r="B254" s="15" t="s">
        <v>439</v>
      </c>
      <c r="C254" s="15" t="s">
        <v>1655</v>
      </c>
      <c r="D254" s="15" t="s">
        <v>799</v>
      </c>
      <c r="E254" s="15" t="s">
        <v>737</v>
      </c>
      <c r="F254" s="18">
        <v>6693</v>
      </c>
      <c r="G254" s="17">
        <f t="shared" si="15"/>
        <v>6693</v>
      </c>
      <c r="H254" s="17"/>
    </row>
    <row r="255" spans="1:8" ht="15">
      <c r="A255" s="31" t="s">
        <v>32</v>
      </c>
      <c r="B255" s="15" t="s">
        <v>439</v>
      </c>
      <c r="C255" s="15" t="s">
        <v>1655</v>
      </c>
      <c r="D255" s="15" t="s">
        <v>33</v>
      </c>
      <c r="E255" s="15"/>
      <c r="F255" s="17">
        <f>F256</f>
        <v>3007</v>
      </c>
      <c r="G255" s="17">
        <f t="shared" si="15"/>
        <v>3007</v>
      </c>
      <c r="H255" s="17"/>
    </row>
    <row r="256" spans="1:8" ht="48">
      <c r="A256" s="16" t="s">
        <v>127</v>
      </c>
      <c r="B256" s="15" t="s">
        <v>439</v>
      </c>
      <c r="C256" s="15" t="s">
        <v>1655</v>
      </c>
      <c r="D256" s="15" t="s">
        <v>1044</v>
      </c>
      <c r="E256" s="15" t="s">
        <v>575</v>
      </c>
      <c r="F256" s="17">
        <f>F257</f>
        <v>3007</v>
      </c>
      <c r="G256" s="17">
        <f t="shared" si="15"/>
        <v>3007</v>
      </c>
      <c r="H256" s="17"/>
    </row>
    <row r="257" spans="1:8" ht="48">
      <c r="A257" s="16" t="s">
        <v>127</v>
      </c>
      <c r="B257" s="15" t="s">
        <v>439</v>
      </c>
      <c r="C257" s="15" t="s">
        <v>1655</v>
      </c>
      <c r="D257" s="15" t="s">
        <v>1044</v>
      </c>
      <c r="E257" s="15" t="s">
        <v>737</v>
      </c>
      <c r="F257" s="18">
        <v>3007</v>
      </c>
      <c r="G257" s="17">
        <f t="shared" si="15"/>
        <v>3007</v>
      </c>
      <c r="H257" s="17"/>
    </row>
    <row r="258" spans="1:8" ht="24">
      <c r="A258" s="31" t="s">
        <v>1664</v>
      </c>
      <c r="B258" s="15" t="s">
        <v>439</v>
      </c>
      <c r="C258" s="15" t="s">
        <v>1655</v>
      </c>
      <c r="D258" s="15" t="s">
        <v>1663</v>
      </c>
      <c r="E258" s="15"/>
      <c r="F258" s="17">
        <f>F259</f>
        <v>2000</v>
      </c>
      <c r="G258" s="17">
        <f t="shared" si="15"/>
        <v>2000</v>
      </c>
      <c r="H258" s="17"/>
    </row>
    <row r="259" spans="1:8" ht="36">
      <c r="A259" s="16" t="s">
        <v>872</v>
      </c>
      <c r="B259" s="15" t="s">
        <v>439</v>
      </c>
      <c r="C259" s="15" t="s">
        <v>1655</v>
      </c>
      <c r="D259" s="15" t="s">
        <v>873</v>
      </c>
      <c r="E259" s="15" t="s">
        <v>575</v>
      </c>
      <c r="F259" s="17">
        <f>F260</f>
        <v>2000</v>
      </c>
      <c r="G259" s="17">
        <f t="shared" si="15"/>
        <v>2000</v>
      </c>
      <c r="H259" s="17"/>
    </row>
    <row r="260" spans="1:8" ht="48">
      <c r="A260" s="16" t="s">
        <v>305</v>
      </c>
      <c r="B260" s="15" t="s">
        <v>439</v>
      </c>
      <c r="C260" s="15" t="s">
        <v>1655</v>
      </c>
      <c r="D260" s="15" t="s">
        <v>873</v>
      </c>
      <c r="E260" s="15" t="s">
        <v>737</v>
      </c>
      <c r="F260" s="17">
        <f>F261+F262</f>
        <v>2000</v>
      </c>
      <c r="G260" s="17">
        <f t="shared" si="15"/>
        <v>2000</v>
      </c>
      <c r="H260" s="17"/>
    </row>
    <row r="261" spans="1:8" ht="60">
      <c r="A261" s="181" t="s">
        <v>871</v>
      </c>
      <c r="B261" s="15" t="s">
        <v>439</v>
      </c>
      <c r="C261" s="15" t="s">
        <v>1655</v>
      </c>
      <c r="D261" s="15" t="s">
        <v>873</v>
      </c>
      <c r="E261" s="15" t="s">
        <v>737</v>
      </c>
      <c r="F261" s="18">
        <v>1000</v>
      </c>
      <c r="G261" s="17">
        <f t="shared" si="15"/>
        <v>1000</v>
      </c>
      <c r="H261" s="17"/>
    </row>
    <row r="262" spans="1:8" ht="60">
      <c r="A262" s="16" t="s">
        <v>307</v>
      </c>
      <c r="B262" s="15" t="s">
        <v>439</v>
      </c>
      <c r="C262" s="15" t="s">
        <v>1655</v>
      </c>
      <c r="D262" s="15" t="s">
        <v>873</v>
      </c>
      <c r="E262" s="15" t="s">
        <v>737</v>
      </c>
      <c r="F262" s="18">
        <v>1000</v>
      </c>
      <c r="G262" s="17">
        <f t="shared" si="15"/>
        <v>1000</v>
      </c>
      <c r="H262" s="17"/>
    </row>
    <row r="263" spans="1:8" ht="25.5">
      <c r="A263" s="22" t="s">
        <v>1654</v>
      </c>
      <c r="B263" s="23" t="s">
        <v>1648</v>
      </c>
      <c r="C263" s="23"/>
      <c r="D263" s="24"/>
      <c r="E263" s="24"/>
      <c r="F263" s="20">
        <f>F264+F321+F344</f>
        <v>340016.30000000005</v>
      </c>
      <c r="G263" s="76">
        <f t="shared" si="15"/>
        <v>340016.30000000005</v>
      </c>
      <c r="H263" s="20">
        <f>H264+H321+H373</f>
        <v>0</v>
      </c>
    </row>
    <row r="264" spans="1:8" ht="15">
      <c r="A264" s="29" t="s">
        <v>377</v>
      </c>
      <c r="B264" s="24" t="s">
        <v>1648</v>
      </c>
      <c r="C264" s="24" t="s">
        <v>1624</v>
      </c>
      <c r="D264" s="24"/>
      <c r="E264" s="24"/>
      <c r="F264" s="17">
        <f>F265+F271+F280+F302+F308+F295+F312</f>
        <v>145111.2</v>
      </c>
      <c r="G264" s="17">
        <f t="shared" si="15"/>
        <v>145111.2</v>
      </c>
      <c r="H264" s="17">
        <f>H277+H280+H302</f>
        <v>0</v>
      </c>
    </row>
    <row r="265" spans="1:8" ht="48" hidden="1">
      <c r="A265" s="31" t="s">
        <v>1004</v>
      </c>
      <c r="B265" s="24" t="s">
        <v>1648</v>
      </c>
      <c r="C265" s="24" t="s">
        <v>1624</v>
      </c>
      <c r="D265" s="24" t="s">
        <v>1005</v>
      </c>
      <c r="E265" s="24"/>
      <c r="F265" s="17">
        <f>F266+F268+F270</f>
        <v>0</v>
      </c>
      <c r="G265" s="17">
        <f t="shared" si="15"/>
        <v>0</v>
      </c>
      <c r="H265" s="17"/>
    </row>
    <row r="266" spans="1:8" ht="60" hidden="1">
      <c r="A266" s="35" t="s">
        <v>1006</v>
      </c>
      <c r="B266" s="24" t="s">
        <v>1648</v>
      </c>
      <c r="C266" s="24" t="s">
        <v>1624</v>
      </c>
      <c r="D266" s="24" t="s">
        <v>1007</v>
      </c>
      <c r="E266" s="24" t="s">
        <v>575</v>
      </c>
      <c r="F266" s="17">
        <f>F267</f>
        <v>0</v>
      </c>
      <c r="G266" s="17">
        <f t="shared" si="15"/>
        <v>0</v>
      </c>
      <c r="H266" s="17"/>
    </row>
    <row r="267" spans="1:8" ht="48" hidden="1">
      <c r="A267" s="35" t="s">
        <v>700</v>
      </c>
      <c r="B267" s="24" t="s">
        <v>1648</v>
      </c>
      <c r="C267" s="24" t="s">
        <v>1624</v>
      </c>
      <c r="D267" s="24" t="s">
        <v>1007</v>
      </c>
      <c r="E267" s="24" t="s">
        <v>737</v>
      </c>
      <c r="F267" s="18"/>
      <c r="G267" s="17">
        <f t="shared" si="15"/>
        <v>0</v>
      </c>
      <c r="H267" s="17"/>
    </row>
    <row r="268" spans="1:8" ht="42.75" customHeight="1" hidden="1">
      <c r="A268" s="35" t="s">
        <v>49</v>
      </c>
      <c r="B268" s="15" t="s">
        <v>1648</v>
      </c>
      <c r="C268" s="15" t="s">
        <v>1624</v>
      </c>
      <c r="D268" s="15" t="s">
        <v>1008</v>
      </c>
      <c r="E268" s="24" t="s">
        <v>575</v>
      </c>
      <c r="F268" s="17">
        <f>F269</f>
        <v>0</v>
      </c>
      <c r="G268" s="17">
        <f t="shared" si="15"/>
        <v>0</v>
      </c>
      <c r="H268" s="17"/>
    </row>
    <row r="269" spans="1:8" ht="48" hidden="1">
      <c r="A269" s="35" t="s">
        <v>700</v>
      </c>
      <c r="B269" s="15" t="s">
        <v>1648</v>
      </c>
      <c r="C269" s="15" t="s">
        <v>1624</v>
      </c>
      <c r="D269" s="15" t="s">
        <v>1008</v>
      </c>
      <c r="E269" s="24" t="s">
        <v>737</v>
      </c>
      <c r="F269" s="18"/>
      <c r="G269" s="17">
        <f t="shared" si="15"/>
        <v>0</v>
      </c>
      <c r="H269" s="17"/>
    </row>
    <row r="270" spans="1:8" ht="38.25" customHeight="1" hidden="1">
      <c r="A270" s="35" t="s">
        <v>1606</v>
      </c>
      <c r="B270" s="15" t="s">
        <v>1648</v>
      </c>
      <c r="C270" s="15" t="s">
        <v>1624</v>
      </c>
      <c r="D270" s="15" t="s">
        <v>450</v>
      </c>
      <c r="E270" s="24" t="s">
        <v>139</v>
      </c>
      <c r="F270" s="18">
        <v>0</v>
      </c>
      <c r="G270" s="17">
        <f t="shared" si="15"/>
        <v>0</v>
      </c>
      <c r="H270" s="17"/>
    </row>
    <row r="271" spans="1:8" ht="22.5" customHeight="1">
      <c r="A271" s="164" t="s">
        <v>1995</v>
      </c>
      <c r="B271" s="165" t="s">
        <v>1648</v>
      </c>
      <c r="C271" s="165" t="s">
        <v>1624</v>
      </c>
      <c r="D271" s="165" t="s">
        <v>1996</v>
      </c>
      <c r="E271" s="166"/>
      <c r="F271" s="17">
        <f>F276</f>
        <v>103300</v>
      </c>
      <c r="G271" s="17">
        <f t="shared" si="15"/>
        <v>103300</v>
      </c>
      <c r="H271" s="17"/>
    </row>
    <row r="272" spans="1:8" ht="24" customHeight="1" hidden="1">
      <c r="A272" s="167" t="s">
        <v>502</v>
      </c>
      <c r="B272" s="165" t="s">
        <v>1648</v>
      </c>
      <c r="C272" s="165" t="s">
        <v>1624</v>
      </c>
      <c r="D272" s="165" t="s">
        <v>503</v>
      </c>
      <c r="E272" s="166"/>
      <c r="F272" s="17">
        <f>F273</f>
        <v>0</v>
      </c>
      <c r="G272" s="17">
        <f t="shared" si="15"/>
        <v>0</v>
      </c>
      <c r="H272" s="17"/>
    </row>
    <row r="273" spans="1:8" ht="31.5" customHeight="1" hidden="1">
      <c r="A273" s="167" t="s">
        <v>595</v>
      </c>
      <c r="B273" s="165" t="s">
        <v>1648</v>
      </c>
      <c r="C273" s="165" t="s">
        <v>1624</v>
      </c>
      <c r="D273" s="165" t="s">
        <v>503</v>
      </c>
      <c r="E273" s="166" t="s">
        <v>966</v>
      </c>
      <c r="F273" s="17">
        <f>F274+F275</f>
        <v>0</v>
      </c>
      <c r="G273" s="17">
        <f t="shared" si="15"/>
        <v>0</v>
      </c>
      <c r="H273" s="17"/>
    </row>
    <row r="274" spans="1:8" ht="46.5" customHeight="1" hidden="1">
      <c r="A274" s="167" t="s">
        <v>286</v>
      </c>
      <c r="B274" s="165" t="s">
        <v>1648</v>
      </c>
      <c r="C274" s="165" t="s">
        <v>1624</v>
      </c>
      <c r="D274" s="165" t="s">
        <v>503</v>
      </c>
      <c r="E274" s="166" t="s">
        <v>966</v>
      </c>
      <c r="F274" s="18"/>
      <c r="G274" s="17">
        <f t="shared" si="15"/>
        <v>0</v>
      </c>
      <c r="H274" s="17"/>
    </row>
    <row r="275" spans="1:8" ht="82.5" customHeight="1" hidden="1">
      <c r="A275" s="167" t="s">
        <v>433</v>
      </c>
      <c r="B275" s="165" t="s">
        <v>1648</v>
      </c>
      <c r="C275" s="165" t="s">
        <v>1624</v>
      </c>
      <c r="D275" s="165" t="s">
        <v>503</v>
      </c>
      <c r="E275" s="166" t="s">
        <v>966</v>
      </c>
      <c r="F275" s="18"/>
      <c r="G275" s="17">
        <f t="shared" si="15"/>
        <v>0</v>
      </c>
      <c r="H275" s="17"/>
    </row>
    <row r="276" spans="1:8" ht="33.75" customHeight="1">
      <c r="A276" s="164" t="s">
        <v>876</v>
      </c>
      <c r="B276" s="166" t="s">
        <v>1648</v>
      </c>
      <c r="C276" s="166" t="s">
        <v>1624</v>
      </c>
      <c r="D276" s="165" t="s">
        <v>102</v>
      </c>
      <c r="E276" s="166"/>
      <c r="F276" s="17">
        <f>F277</f>
        <v>103300</v>
      </c>
      <c r="G276" s="17">
        <f>G277</f>
        <v>103300</v>
      </c>
      <c r="H276" s="17"/>
    </row>
    <row r="277" spans="1:8" ht="40.5" customHeight="1">
      <c r="A277" s="167" t="s">
        <v>14</v>
      </c>
      <c r="B277" s="166" t="s">
        <v>1648</v>
      </c>
      <c r="C277" s="166" t="s">
        <v>1624</v>
      </c>
      <c r="D277" s="166" t="s">
        <v>15</v>
      </c>
      <c r="E277" s="166" t="s">
        <v>575</v>
      </c>
      <c r="F277" s="17">
        <f>F278</f>
        <v>103300</v>
      </c>
      <c r="G277" s="17">
        <f>G278</f>
        <v>103300</v>
      </c>
      <c r="H277" s="17">
        <f>H278</f>
        <v>0</v>
      </c>
    </row>
    <row r="278" spans="1:8" ht="24" customHeight="1">
      <c r="A278" s="167" t="s">
        <v>867</v>
      </c>
      <c r="B278" s="166" t="s">
        <v>1648</v>
      </c>
      <c r="C278" s="166" t="s">
        <v>1624</v>
      </c>
      <c r="D278" s="166" t="s">
        <v>15</v>
      </c>
      <c r="E278" s="166" t="s">
        <v>738</v>
      </c>
      <c r="F278" s="17">
        <f>F279</f>
        <v>103300</v>
      </c>
      <c r="G278" s="17">
        <f>F278-H278</f>
        <v>103300</v>
      </c>
      <c r="H278" s="18"/>
    </row>
    <row r="279" spans="1:8" ht="64.5" customHeight="1">
      <c r="A279" s="167" t="s">
        <v>1135</v>
      </c>
      <c r="B279" s="166" t="s">
        <v>1648</v>
      </c>
      <c r="C279" s="166" t="s">
        <v>1624</v>
      </c>
      <c r="D279" s="166" t="s">
        <v>15</v>
      </c>
      <c r="E279" s="166" t="s">
        <v>1134</v>
      </c>
      <c r="F279" s="18">
        <f>51650+44714.8-4000+10935.2</f>
        <v>103300</v>
      </c>
      <c r="G279" s="17">
        <f>F279-H279</f>
        <v>103300</v>
      </c>
      <c r="H279" s="18"/>
    </row>
    <row r="280" spans="1:8" ht="15">
      <c r="A280" s="30" t="s">
        <v>755</v>
      </c>
      <c r="B280" s="24" t="s">
        <v>1648</v>
      </c>
      <c r="C280" s="24" t="s">
        <v>1624</v>
      </c>
      <c r="D280" s="24" t="s">
        <v>1372</v>
      </c>
      <c r="E280" s="24"/>
      <c r="F280" s="17">
        <f>F281+F283+F285</f>
        <v>10749.7</v>
      </c>
      <c r="G280" s="17">
        <f aca="true" t="shared" si="16" ref="G280:G331">F280-H280</f>
        <v>10749.7</v>
      </c>
      <c r="H280" s="17">
        <f>SUM(H283:H283)</f>
        <v>0</v>
      </c>
    </row>
    <row r="281" spans="1:8" ht="48" hidden="1">
      <c r="A281" s="35" t="s">
        <v>1607</v>
      </c>
      <c r="B281" s="24" t="s">
        <v>1648</v>
      </c>
      <c r="C281" s="24" t="s">
        <v>1624</v>
      </c>
      <c r="D281" s="24" t="s">
        <v>1045</v>
      </c>
      <c r="E281" s="24" t="s">
        <v>575</v>
      </c>
      <c r="F281" s="17">
        <f>F282</f>
        <v>0</v>
      </c>
      <c r="G281" s="17">
        <f>G282</f>
        <v>0</v>
      </c>
      <c r="H281" s="17"/>
    </row>
    <row r="282" spans="1:8" ht="36" hidden="1">
      <c r="A282" s="35" t="s">
        <v>42</v>
      </c>
      <c r="B282" s="24" t="s">
        <v>1648</v>
      </c>
      <c r="C282" s="24" t="s">
        <v>1624</v>
      </c>
      <c r="D282" s="24" t="s">
        <v>1045</v>
      </c>
      <c r="E282" s="24" t="s">
        <v>1366</v>
      </c>
      <c r="F282" s="18"/>
      <c r="G282" s="17">
        <f t="shared" si="16"/>
        <v>0</v>
      </c>
      <c r="H282" s="17"/>
    </row>
    <row r="283" spans="1:8" ht="36.75" hidden="1">
      <c r="A283" s="4" t="s">
        <v>1047</v>
      </c>
      <c r="B283" s="24" t="s">
        <v>1648</v>
      </c>
      <c r="C283" s="24" t="s">
        <v>1624</v>
      </c>
      <c r="D283" s="24" t="s">
        <v>1048</v>
      </c>
      <c r="E283" s="15" t="s">
        <v>575</v>
      </c>
      <c r="F283" s="17">
        <f>F284</f>
        <v>0</v>
      </c>
      <c r="G283" s="17">
        <f t="shared" si="16"/>
        <v>0</v>
      </c>
      <c r="H283" s="18"/>
    </row>
    <row r="284" spans="1:8" ht="36.75" hidden="1">
      <c r="A284" s="27" t="s">
        <v>12</v>
      </c>
      <c r="B284" s="24" t="s">
        <v>1648</v>
      </c>
      <c r="C284" s="24" t="s">
        <v>1624</v>
      </c>
      <c r="D284" s="24" t="s">
        <v>1048</v>
      </c>
      <c r="E284" s="15" t="s">
        <v>139</v>
      </c>
      <c r="F284" s="18"/>
      <c r="G284" s="17">
        <f t="shared" si="16"/>
        <v>0</v>
      </c>
      <c r="H284" s="18"/>
    </row>
    <row r="285" spans="1:8" ht="19.5" customHeight="1">
      <c r="A285" s="4" t="s">
        <v>226</v>
      </c>
      <c r="B285" s="24" t="s">
        <v>1648</v>
      </c>
      <c r="C285" s="24" t="s">
        <v>1624</v>
      </c>
      <c r="D285" s="24" t="s">
        <v>227</v>
      </c>
      <c r="E285" s="15" t="s">
        <v>575</v>
      </c>
      <c r="F285" s="17">
        <f>F286+F307+F287+F290+F294+F306</f>
        <v>10749.7</v>
      </c>
      <c r="G285" s="17">
        <f t="shared" si="16"/>
        <v>10749.7</v>
      </c>
      <c r="H285" s="18"/>
    </row>
    <row r="286" spans="1:8" ht="34.5" customHeight="1">
      <c r="A286" s="35" t="s">
        <v>528</v>
      </c>
      <c r="B286" s="24" t="s">
        <v>1648</v>
      </c>
      <c r="C286" s="24" t="s">
        <v>1624</v>
      </c>
      <c r="D286" s="24" t="s">
        <v>227</v>
      </c>
      <c r="E286" s="15" t="s">
        <v>1644</v>
      </c>
      <c r="F286" s="17">
        <f>F287+F288+F289</f>
        <v>10749.7</v>
      </c>
      <c r="G286" s="17">
        <f t="shared" si="16"/>
        <v>10749.7</v>
      </c>
      <c r="H286" s="18"/>
    </row>
    <row r="287" spans="1:8" ht="39" customHeight="1" hidden="1">
      <c r="A287" s="155" t="s">
        <v>1535</v>
      </c>
      <c r="B287" s="24" t="s">
        <v>1648</v>
      </c>
      <c r="C287" s="24" t="s">
        <v>1624</v>
      </c>
      <c r="D287" s="24" t="s">
        <v>227</v>
      </c>
      <c r="E287" s="15" t="s">
        <v>846</v>
      </c>
      <c r="F287" s="18">
        <v>0</v>
      </c>
      <c r="G287" s="17">
        <f t="shared" si="16"/>
        <v>0</v>
      </c>
      <c r="H287" s="18"/>
    </row>
    <row r="288" spans="1:8" ht="39" customHeight="1" hidden="1">
      <c r="A288" s="35" t="s">
        <v>528</v>
      </c>
      <c r="B288" s="24" t="s">
        <v>1648</v>
      </c>
      <c r="C288" s="24" t="s">
        <v>1624</v>
      </c>
      <c r="D288" s="24" t="s">
        <v>227</v>
      </c>
      <c r="E288" s="15" t="s">
        <v>699</v>
      </c>
      <c r="F288" s="18"/>
      <c r="G288" s="17">
        <f t="shared" si="16"/>
        <v>0</v>
      </c>
      <c r="H288" s="18"/>
    </row>
    <row r="289" spans="1:8" ht="24" customHeight="1">
      <c r="A289" s="155" t="s">
        <v>1535</v>
      </c>
      <c r="B289" s="24" t="s">
        <v>1648</v>
      </c>
      <c r="C289" s="24" t="s">
        <v>1624</v>
      </c>
      <c r="D289" s="24" t="s">
        <v>227</v>
      </c>
      <c r="E289" s="15" t="s">
        <v>1536</v>
      </c>
      <c r="F289" s="18">
        <f>11012.6-580.4+317.4+0.1</f>
        <v>10749.7</v>
      </c>
      <c r="G289" s="17">
        <f t="shared" si="16"/>
        <v>10749.7</v>
      </c>
      <c r="H289" s="18"/>
    </row>
    <row r="290" spans="1:8" ht="17.25" customHeight="1" hidden="1">
      <c r="A290" s="4" t="s">
        <v>865</v>
      </c>
      <c r="B290" s="24" t="s">
        <v>1648</v>
      </c>
      <c r="C290" s="24" t="s">
        <v>1624</v>
      </c>
      <c r="D290" s="24" t="s">
        <v>227</v>
      </c>
      <c r="E290" s="15" t="s">
        <v>1366</v>
      </c>
      <c r="F290" s="157"/>
      <c r="G290" s="17">
        <f t="shared" si="16"/>
        <v>0</v>
      </c>
      <c r="H290" s="18"/>
    </row>
    <row r="291" spans="1:8" ht="24" customHeight="1" hidden="1">
      <c r="A291" s="119" t="s">
        <v>388</v>
      </c>
      <c r="B291" s="24" t="s">
        <v>1648</v>
      </c>
      <c r="C291" s="24" t="s">
        <v>1624</v>
      </c>
      <c r="D291" s="24" t="s">
        <v>227</v>
      </c>
      <c r="E291" s="15" t="s">
        <v>1366</v>
      </c>
      <c r="F291" s="18"/>
      <c r="G291" s="17">
        <f t="shared" si="16"/>
        <v>0</v>
      </c>
      <c r="H291" s="18"/>
    </row>
    <row r="292" spans="1:8" ht="27.75" customHeight="1" hidden="1">
      <c r="A292" s="119" t="s">
        <v>389</v>
      </c>
      <c r="B292" s="24" t="s">
        <v>1648</v>
      </c>
      <c r="C292" s="24" t="s">
        <v>1624</v>
      </c>
      <c r="D292" s="24" t="s">
        <v>227</v>
      </c>
      <c r="E292" s="15" t="s">
        <v>1366</v>
      </c>
      <c r="F292" s="18">
        <v>0</v>
      </c>
      <c r="G292" s="17">
        <f t="shared" si="16"/>
        <v>0</v>
      </c>
      <c r="H292" s="18"/>
    </row>
    <row r="293" spans="1:8" ht="15.75" customHeight="1" hidden="1">
      <c r="A293" s="4" t="s">
        <v>390</v>
      </c>
      <c r="B293" s="24" t="s">
        <v>1648</v>
      </c>
      <c r="C293" s="24" t="s">
        <v>1624</v>
      </c>
      <c r="D293" s="24" t="s">
        <v>227</v>
      </c>
      <c r="E293" s="15" t="s">
        <v>1366</v>
      </c>
      <c r="F293" s="18"/>
      <c r="G293" s="17">
        <f t="shared" si="16"/>
        <v>0</v>
      </c>
      <c r="H293" s="18"/>
    </row>
    <row r="294" spans="1:8" ht="27.75" customHeight="1" hidden="1">
      <c r="A294" s="27" t="s">
        <v>1104</v>
      </c>
      <c r="B294" s="24" t="s">
        <v>1648</v>
      </c>
      <c r="C294" s="24" t="s">
        <v>1624</v>
      </c>
      <c r="D294" s="24" t="s">
        <v>227</v>
      </c>
      <c r="E294" s="15" t="s">
        <v>139</v>
      </c>
      <c r="F294" s="18">
        <f>18832-18832</f>
        <v>0</v>
      </c>
      <c r="G294" s="17">
        <f t="shared" si="16"/>
        <v>0</v>
      </c>
      <c r="H294" s="18"/>
    </row>
    <row r="295" spans="1:8" ht="24.75" hidden="1">
      <c r="A295" s="37" t="s">
        <v>1148</v>
      </c>
      <c r="B295" s="24" t="s">
        <v>1648</v>
      </c>
      <c r="C295" s="24" t="s">
        <v>1624</v>
      </c>
      <c r="D295" s="24" t="s">
        <v>1149</v>
      </c>
      <c r="E295" s="15"/>
      <c r="F295" s="17">
        <f>F296+F298</f>
        <v>0</v>
      </c>
      <c r="G295" s="17">
        <f t="shared" si="16"/>
        <v>0</v>
      </c>
      <c r="H295" s="18"/>
    </row>
    <row r="296" spans="1:8" ht="107.25" customHeight="1" hidden="1">
      <c r="A296" s="27" t="s">
        <v>551</v>
      </c>
      <c r="B296" s="24" t="s">
        <v>1648</v>
      </c>
      <c r="C296" s="24" t="s">
        <v>1624</v>
      </c>
      <c r="D296" s="24" t="s">
        <v>1161</v>
      </c>
      <c r="E296" s="15"/>
      <c r="F296" s="17">
        <f>F297</f>
        <v>0</v>
      </c>
      <c r="G296" s="17">
        <f t="shared" si="16"/>
        <v>0</v>
      </c>
      <c r="H296" s="18"/>
    </row>
    <row r="297" spans="1:8" ht="24.75" hidden="1">
      <c r="A297" s="27" t="s">
        <v>552</v>
      </c>
      <c r="B297" s="24" t="s">
        <v>1648</v>
      </c>
      <c r="C297" s="24" t="s">
        <v>1624</v>
      </c>
      <c r="D297" s="24" t="s">
        <v>1161</v>
      </c>
      <c r="E297" s="15" t="s">
        <v>553</v>
      </c>
      <c r="F297" s="18"/>
      <c r="G297" s="17">
        <f t="shared" si="16"/>
        <v>0</v>
      </c>
      <c r="H297" s="18"/>
    </row>
    <row r="298" spans="1:8" ht="15.75" hidden="1">
      <c r="A298" s="37" t="s">
        <v>32</v>
      </c>
      <c r="B298" s="24" t="s">
        <v>1648</v>
      </c>
      <c r="C298" s="24" t="s">
        <v>1624</v>
      </c>
      <c r="D298" s="24" t="s">
        <v>33</v>
      </c>
      <c r="E298" s="15"/>
      <c r="F298" s="17">
        <f>F299</f>
        <v>0</v>
      </c>
      <c r="G298" s="17">
        <f t="shared" si="16"/>
        <v>0</v>
      </c>
      <c r="H298" s="18"/>
    </row>
    <row r="299" spans="1:8" ht="60.75" hidden="1">
      <c r="A299" s="27" t="s">
        <v>877</v>
      </c>
      <c r="B299" s="24" t="s">
        <v>1648</v>
      </c>
      <c r="C299" s="24" t="s">
        <v>1624</v>
      </c>
      <c r="D299" s="24" t="s">
        <v>647</v>
      </c>
      <c r="E299" s="115"/>
      <c r="F299" s="17">
        <f>F300+F301</f>
        <v>0</v>
      </c>
      <c r="G299" s="17">
        <f t="shared" si="16"/>
        <v>0</v>
      </c>
      <c r="H299" s="18"/>
    </row>
    <row r="300" spans="1:8" ht="96.75" hidden="1">
      <c r="A300" s="27" t="s">
        <v>403</v>
      </c>
      <c r="B300" s="24" t="s">
        <v>1648</v>
      </c>
      <c r="C300" s="24" t="s">
        <v>1624</v>
      </c>
      <c r="D300" s="24" t="s">
        <v>647</v>
      </c>
      <c r="E300" s="15" t="s">
        <v>648</v>
      </c>
      <c r="F300" s="18"/>
      <c r="G300" s="17">
        <f t="shared" si="16"/>
        <v>0</v>
      </c>
      <c r="H300" s="18"/>
    </row>
    <row r="301" spans="1:8" ht="96.75" hidden="1">
      <c r="A301" s="27" t="s">
        <v>404</v>
      </c>
      <c r="B301" s="24" t="s">
        <v>1648</v>
      </c>
      <c r="C301" s="24" t="s">
        <v>1624</v>
      </c>
      <c r="D301" s="24" t="s">
        <v>647</v>
      </c>
      <c r="E301" s="15" t="s">
        <v>966</v>
      </c>
      <c r="F301" s="18"/>
      <c r="G301" s="17">
        <f t="shared" si="16"/>
        <v>0</v>
      </c>
      <c r="H301" s="18"/>
    </row>
    <row r="302" spans="1:8" ht="24.75" hidden="1">
      <c r="A302" s="37" t="s">
        <v>1664</v>
      </c>
      <c r="B302" s="24" t="s">
        <v>1648</v>
      </c>
      <c r="C302" s="24" t="s">
        <v>1624</v>
      </c>
      <c r="D302" s="24" t="s">
        <v>1663</v>
      </c>
      <c r="E302" s="24"/>
      <c r="F302" s="17">
        <f>SUM(F303:F303)</f>
        <v>0</v>
      </c>
      <c r="G302" s="17">
        <f t="shared" si="16"/>
        <v>0</v>
      </c>
      <c r="H302" s="17">
        <f>SUM(H303:H303)</f>
        <v>0</v>
      </c>
    </row>
    <row r="303" spans="1:8" ht="49.5" customHeight="1" hidden="1">
      <c r="A303" s="4" t="s">
        <v>121</v>
      </c>
      <c r="B303" s="24" t="s">
        <v>1648</v>
      </c>
      <c r="C303" s="24" t="s">
        <v>1624</v>
      </c>
      <c r="D303" s="24" t="s">
        <v>122</v>
      </c>
      <c r="E303" s="15" t="s">
        <v>575</v>
      </c>
      <c r="F303" s="17">
        <f>F304+F305</f>
        <v>0</v>
      </c>
      <c r="G303" s="17">
        <f t="shared" si="16"/>
        <v>0</v>
      </c>
      <c r="H303" s="18"/>
    </row>
    <row r="304" spans="1:8" ht="126.75" customHeight="1" hidden="1">
      <c r="A304" s="142" t="s">
        <v>467</v>
      </c>
      <c r="B304" s="24" t="s">
        <v>1648</v>
      </c>
      <c r="C304" s="24" t="s">
        <v>1624</v>
      </c>
      <c r="D304" s="24" t="s">
        <v>122</v>
      </c>
      <c r="E304" s="15" t="s">
        <v>648</v>
      </c>
      <c r="F304" s="18">
        <f>436-156-280</f>
        <v>0</v>
      </c>
      <c r="G304" s="17">
        <f t="shared" si="16"/>
        <v>0</v>
      </c>
      <c r="H304" s="18"/>
    </row>
    <row r="305" spans="1:8" ht="120" hidden="1">
      <c r="A305" s="142" t="s">
        <v>456</v>
      </c>
      <c r="B305" s="24" t="s">
        <v>1648</v>
      </c>
      <c r="C305" s="24" t="s">
        <v>1624</v>
      </c>
      <c r="D305" s="24" t="s">
        <v>122</v>
      </c>
      <c r="E305" s="15" t="s">
        <v>966</v>
      </c>
      <c r="F305" s="18"/>
      <c r="G305" s="17">
        <f t="shared" si="16"/>
        <v>0</v>
      </c>
      <c r="H305" s="18"/>
    </row>
    <row r="306" spans="1:8" ht="23.25" customHeight="1" hidden="1">
      <c r="A306" s="35" t="s">
        <v>1975</v>
      </c>
      <c r="B306" s="24" t="s">
        <v>1648</v>
      </c>
      <c r="C306" s="24" t="s">
        <v>1624</v>
      </c>
      <c r="D306" s="24" t="s">
        <v>227</v>
      </c>
      <c r="E306" s="15" t="s">
        <v>1976</v>
      </c>
      <c r="F306" s="18">
        <f>11909.9-300-11609.9</f>
        <v>0</v>
      </c>
      <c r="G306" s="17">
        <f t="shared" si="16"/>
        <v>0</v>
      </c>
      <c r="H306" s="18"/>
    </row>
    <row r="307" spans="1:8" ht="45" customHeight="1" hidden="1">
      <c r="A307" s="35" t="s">
        <v>700</v>
      </c>
      <c r="B307" s="24" t="s">
        <v>1648</v>
      </c>
      <c r="C307" s="24" t="s">
        <v>1624</v>
      </c>
      <c r="D307" s="24" t="s">
        <v>227</v>
      </c>
      <c r="E307" s="15" t="s">
        <v>737</v>
      </c>
      <c r="F307" s="18"/>
      <c r="G307" s="17">
        <f t="shared" si="16"/>
        <v>0</v>
      </c>
      <c r="H307" s="18"/>
    </row>
    <row r="308" spans="1:8" ht="22.5" customHeight="1" hidden="1">
      <c r="A308" s="31" t="s">
        <v>1148</v>
      </c>
      <c r="B308" s="24" t="s">
        <v>1648</v>
      </c>
      <c r="C308" s="24" t="s">
        <v>1624</v>
      </c>
      <c r="D308" s="24" t="s">
        <v>1149</v>
      </c>
      <c r="E308" s="15"/>
      <c r="F308" s="17">
        <f>F309</f>
        <v>0</v>
      </c>
      <c r="G308" s="17">
        <f t="shared" si="16"/>
        <v>0</v>
      </c>
      <c r="H308" s="18"/>
    </row>
    <row r="309" spans="1:8" ht="45" customHeight="1" hidden="1">
      <c r="A309" s="35" t="s">
        <v>145</v>
      </c>
      <c r="B309" s="24" t="s">
        <v>1648</v>
      </c>
      <c r="C309" s="24" t="s">
        <v>1624</v>
      </c>
      <c r="D309" s="24" t="s">
        <v>143</v>
      </c>
      <c r="E309" s="15" t="s">
        <v>575</v>
      </c>
      <c r="F309" s="17">
        <f>F310</f>
        <v>0</v>
      </c>
      <c r="G309" s="17">
        <f t="shared" si="16"/>
        <v>0</v>
      </c>
      <c r="H309" s="18"/>
    </row>
    <row r="310" spans="1:8" ht="36.75" customHeight="1" hidden="1">
      <c r="A310" s="35" t="s">
        <v>352</v>
      </c>
      <c r="B310" s="24" t="s">
        <v>1648</v>
      </c>
      <c r="C310" s="24" t="s">
        <v>1624</v>
      </c>
      <c r="D310" s="24" t="s">
        <v>353</v>
      </c>
      <c r="E310" s="15" t="s">
        <v>575</v>
      </c>
      <c r="F310" s="17">
        <f>F311</f>
        <v>0</v>
      </c>
      <c r="G310" s="17">
        <f t="shared" si="16"/>
        <v>0</v>
      </c>
      <c r="H310" s="18"/>
    </row>
    <row r="311" spans="1:8" ht="33.75" customHeight="1" hidden="1">
      <c r="A311" s="155" t="s">
        <v>95</v>
      </c>
      <c r="B311" s="24" t="s">
        <v>1648</v>
      </c>
      <c r="C311" s="24" t="s">
        <v>1624</v>
      </c>
      <c r="D311" s="24" t="s">
        <v>353</v>
      </c>
      <c r="E311" s="15" t="s">
        <v>699</v>
      </c>
      <c r="F311" s="18">
        <f>500-500</f>
        <v>0</v>
      </c>
      <c r="G311" s="17">
        <f t="shared" si="16"/>
        <v>0</v>
      </c>
      <c r="H311" s="18"/>
    </row>
    <row r="312" spans="1:8" ht="30" customHeight="1">
      <c r="A312" s="37" t="s">
        <v>1664</v>
      </c>
      <c r="B312" s="15" t="s">
        <v>1648</v>
      </c>
      <c r="C312" s="15" t="s">
        <v>1624</v>
      </c>
      <c r="D312" s="24" t="s">
        <v>1663</v>
      </c>
      <c r="E312" s="15"/>
      <c r="F312" s="17">
        <f>F313+F315</f>
        <v>31061.5</v>
      </c>
      <c r="G312" s="17">
        <f t="shared" si="16"/>
        <v>31061.5</v>
      </c>
      <c r="H312" s="18"/>
    </row>
    <row r="313" spans="1:8" ht="36.75" customHeight="1">
      <c r="A313" s="35" t="s">
        <v>285</v>
      </c>
      <c r="B313" s="15" t="s">
        <v>1648</v>
      </c>
      <c r="C313" s="15" t="s">
        <v>1624</v>
      </c>
      <c r="D313" s="24" t="s">
        <v>1981</v>
      </c>
      <c r="E313" s="15" t="s">
        <v>575</v>
      </c>
      <c r="F313" s="17">
        <f>F314</f>
        <v>20409.399999999998</v>
      </c>
      <c r="G313" s="17">
        <f t="shared" si="16"/>
        <v>20409.399999999998</v>
      </c>
      <c r="H313" s="18"/>
    </row>
    <row r="314" spans="1:8" ht="43.5" customHeight="1">
      <c r="A314" s="35" t="s">
        <v>700</v>
      </c>
      <c r="B314" s="15" t="s">
        <v>1648</v>
      </c>
      <c r="C314" s="15" t="s">
        <v>1624</v>
      </c>
      <c r="D314" s="24" t="s">
        <v>1981</v>
      </c>
      <c r="E314" s="15" t="s">
        <v>737</v>
      </c>
      <c r="F314" s="18">
        <f>19133.6+2016.5-740.7</f>
        <v>20409.399999999998</v>
      </c>
      <c r="G314" s="17">
        <f t="shared" si="16"/>
        <v>20409.399999999998</v>
      </c>
      <c r="H314" s="18"/>
    </row>
    <row r="315" spans="1:8" ht="68.25" customHeight="1">
      <c r="A315" s="35" t="s">
        <v>194</v>
      </c>
      <c r="B315" s="15" t="s">
        <v>1648</v>
      </c>
      <c r="C315" s="15" t="s">
        <v>1624</v>
      </c>
      <c r="D315" s="24" t="s">
        <v>195</v>
      </c>
      <c r="E315" s="15" t="s">
        <v>575</v>
      </c>
      <c r="F315" s="17">
        <f>F316+F318</f>
        <v>10652.1</v>
      </c>
      <c r="G315" s="17">
        <f t="shared" si="16"/>
        <v>10652.1</v>
      </c>
      <c r="H315" s="18"/>
    </row>
    <row r="316" spans="1:8" ht="31.5" customHeight="1">
      <c r="A316" s="155" t="s">
        <v>172</v>
      </c>
      <c r="B316" s="15" t="s">
        <v>1648</v>
      </c>
      <c r="C316" s="15" t="s">
        <v>1624</v>
      </c>
      <c r="D316" s="24" t="s">
        <v>195</v>
      </c>
      <c r="E316" s="15" t="s">
        <v>1644</v>
      </c>
      <c r="F316" s="17">
        <f>F317</f>
        <v>10652.1</v>
      </c>
      <c r="G316" s="17">
        <f t="shared" si="16"/>
        <v>10652.1</v>
      </c>
      <c r="H316" s="18"/>
    </row>
    <row r="317" spans="1:8" ht="42" customHeight="1">
      <c r="A317" s="155" t="s">
        <v>95</v>
      </c>
      <c r="B317" s="15" t="s">
        <v>1648</v>
      </c>
      <c r="C317" s="15" t="s">
        <v>1624</v>
      </c>
      <c r="D317" s="24" t="s">
        <v>195</v>
      </c>
      <c r="E317" s="15" t="s">
        <v>699</v>
      </c>
      <c r="F317" s="18">
        <v>10652.1</v>
      </c>
      <c r="G317" s="17">
        <f t="shared" si="16"/>
        <v>10652.1</v>
      </c>
      <c r="H317" s="18"/>
    </row>
    <row r="318" spans="1:8" ht="35.25" customHeight="1" hidden="1">
      <c r="A318" s="35" t="s">
        <v>700</v>
      </c>
      <c r="B318" s="15" t="s">
        <v>1648</v>
      </c>
      <c r="C318" s="15" t="s">
        <v>1624</v>
      </c>
      <c r="D318" s="24" t="s">
        <v>195</v>
      </c>
      <c r="E318" s="15" t="s">
        <v>737</v>
      </c>
      <c r="F318" s="18">
        <f>9001.5-9001.5</f>
        <v>0</v>
      </c>
      <c r="G318" s="17">
        <f t="shared" si="16"/>
        <v>0</v>
      </c>
      <c r="H318" s="18"/>
    </row>
    <row r="319" spans="1:8" ht="28.5" customHeight="1" hidden="1">
      <c r="A319" s="155" t="s">
        <v>1535</v>
      </c>
      <c r="B319" s="15" t="s">
        <v>1648</v>
      </c>
      <c r="C319" s="15" t="s">
        <v>1624</v>
      </c>
      <c r="D319" s="24" t="s">
        <v>195</v>
      </c>
      <c r="E319" s="15" t="s">
        <v>1536</v>
      </c>
      <c r="F319" s="18">
        <v>0</v>
      </c>
      <c r="G319" s="17">
        <f t="shared" si="16"/>
        <v>0</v>
      </c>
      <c r="H319" s="18"/>
    </row>
    <row r="320" spans="1:8" ht="40.5" customHeight="1" hidden="1">
      <c r="A320" s="35" t="s">
        <v>700</v>
      </c>
      <c r="B320" s="15" t="s">
        <v>1648</v>
      </c>
      <c r="C320" s="15" t="s">
        <v>1624</v>
      </c>
      <c r="D320" s="24" t="s">
        <v>195</v>
      </c>
      <c r="E320" s="15" t="s">
        <v>737</v>
      </c>
      <c r="F320" s="18"/>
      <c r="G320" s="17">
        <f t="shared" si="16"/>
        <v>0</v>
      </c>
      <c r="H320" s="18"/>
    </row>
    <row r="321" spans="1:8" ht="15">
      <c r="A321" s="3" t="s">
        <v>1373</v>
      </c>
      <c r="B321" s="15" t="s">
        <v>1648</v>
      </c>
      <c r="C321" s="15" t="s">
        <v>923</v>
      </c>
      <c r="D321" s="15"/>
      <c r="E321" s="15"/>
      <c r="F321" s="17">
        <f>F322+F325+F328+F332+F335+F337</f>
        <v>113.2</v>
      </c>
      <c r="G321" s="17">
        <f t="shared" si="16"/>
        <v>113.2</v>
      </c>
      <c r="H321" s="17">
        <f>H328+H356</f>
        <v>0</v>
      </c>
    </row>
    <row r="322" spans="1:8" ht="15.75" hidden="1">
      <c r="A322" s="116" t="s">
        <v>1995</v>
      </c>
      <c r="B322" s="15" t="s">
        <v>1648</v>
      </c>
      <c r="C322" s="15" t="s">
        <v>923</v>
      </c>
      <c r="D322" s="15" t="s">
        <v>1996</v>
      </c>
      <c r="E322" s="15"/>
      <c r="F322" s="17">
        <f>F323</f>
        <v>0</v>
      </c>
      <c r="G322" s="17">
        <f t="shared" si="16"/>
        <v>0</v>
      </c>
      <c r="H322" s="17"/>
    </row>
    <row r="323" spans="1:8" ht="24.75" hidden="1">
      <c r="A323" s="116" t="s">
        <v>502</v>
      </c>
      <c r="B323" s="15" t="s">
        <v>1648</v>
      </c>
      <c r="C323" s="15" t="s">
        <v>923</v>
      </c>
      <c r="D323" s="15" t="s">
        <v>503</v>
      </c>
      <c r="E323" s="15" t="s">
        <v>575</v>
      </c>
      <c r="F323" s="17">
        <f>F324</f>
        <v>0</v>
      </c>
      <c r="G323" s="17">
        <f t="shared" si="16"/>
        <v>0</v>
      </c>
      <c r="H323" s="17"/>
    </row>
    <row r="324" spans="1:8" ht="84.75" hidden="1">
      <c r="A324" s="116" t="s">
        <v>1126</v>
      </c>
      <c r="B324" s="15" t="s">
        <v>1648</v>
      </c>
      <c r="C324" s="15" t="s">
        <v>923</v>
      </c>
      <c r="D324" s="15" t="s">
        <v>503</v>
      </c>
      <c r="E324" s="15" t="s">
        <v>167</v>
      </c>
      <c r="F324" s="18"/>
      <c r="G324" s="17">
        <f t="shared" si="16"/>
        <v>0</v>
      </c>
      <c r="H324" s="17"/>
    </row>
    <row r="325" spans="1:8" ht="48" hidden="1">
      <c r="A325" s="31" t="s">
        <v>14</v>
      </c>
      <c r="B325" s="15" t="s">
        <v>1648</v>
      </c>
      <c r="C325" s="15" t="s">
        <v>923</v>
      </c>
      <c r="D325" s="15" t="s">
        <v>15</v>
      </c>
      <c r="E325" s="15"/>
      <c r="F325" s="17">
        <f>F326</f>
        <v>0</v>
      </c>
      <c r="G325" s="17">
        <f t="shared" si="16"/>
        <v>0</v>
      </c>
      <c r="H325" s="17"/>
    </row>
    <row r="326" spans="1:8" ht="24.75" hidden="1">
      <c r="A326" s="35" t="s">
        <v>599</v>
      </c>
      <c r="B326" s="15" t="s">
        <v>1648</v>
      </c>
      <c r="C326" s="15" t="s">
        <v>923</v>
      </c>
      <c r="D326" s="15" t="s">
        <v>15</v>
      </c>
      <c r="E326" s="15" t="s">
        <v>167</v>
      </c>
      <c r="F326" s="18">
        <f>F327</f>
        <v>0</v>
      </c>
      <c r="G326" s="17">
        <f t="shared" si="16"/>
        <v>0</v>
      </c>
      <c r="H326" s="17"/>
    </row>
    <row r="327" spans="1:8" ht="35.25" customHeight="1" hidden="1">
      <c r="A327" s="35" t="s">
        <v>600</v>
      </c>
      <c r="B327" s="15" t="s">
        <v>1648</v>
      </c>
      <c r="C327" s="15" t="s">
        <v>923</v>
      </c>
      <c r="D327" s="15" t="s">
        <v>15</v>
      </c>
      <c r="E327" s="15" t="s">
        <v>167</v>
      </c>
      <c r="F327" s="18">
        <f>16403.4-16403.4</f>
        <v>0</v>
      </c>
      <c r="G327" s="17">
        <f t="shared" si="16"/>
        <v>0</v>
      </c>
      <c r="H327" s="17"/>
    </row>
    <row r="328" spans="1:8" ht="19.5" customHeight="1" hidden="1">
      <c r="A328" s="30" t="s">
        <v>1374</v>
      </c>
      <c r="B328" s="15" t="s">
        <v>1648</v>
      </c>
      <c r="C328" s="15" t="s">
        <v>923</v>
      </c>
      <c r="D328" s="15" t="s">
        <v>1375</v>
      </c>
      <c r="E328" s="15"/>
      <c r="F328" s="17">
        <f>F329</f>
        <v>0</v>
      </c>
      <c r="G328" s="17">
        <f t="shared" si="16"/>
        <v>0</v>
      </c>
      <c r="H328" s="17">
        <f>SUM(H329:H357)</f>
        <v>0</v>
      </c>
    </row>
    <row r="329" spans="1:8" ht="26.25" customHeight="1" hidden="1">
      <c r="A329" s="16" t="s">
        <v>287</v>
      </c>
      <c r="B329" s="15" t="s">
        <v>1648</v>
      </c>
      <c r="C329" s="15" t="s">
        <v>923</v>
      </c>
      <c r="D329" s="15" t="s">
        <v>1960</v>
      </c>
      <c r="E329" s="15" t="s">
        <v>575</v>
      </c>
      <c r="F329" s="17">
        <f>F330+F331</f>
        <v>0</v>
      </c>
      <c r="G329" s="17">
        <f t="shared" si="16"/>
        <v>0</v>
      </c>
      <c r="H329" s="18"/>
    </row>
    <row r="330" spans="1:8" ht="30" customHeight="1" hidden="1">
      <c r="A330" s="4" t="s">
        <v>391</v>
      </c>
      <c r="B330" s="15" t="s">
        <v>1648</v>
      </c>
      <c r="C330" s="15" t="s">
        <v>923</v>
      </c>
      <c r="D330" s="15" t="s">
        <v>1960</v>
      </c>
      <c r="E330" s="15" t="s">
        <v>1366</v>
      </c>
      <c r="F330" s="18"/>
      <c r="G330" s="17">
        <f t="shared" si="16"/>
        <v>0</v>
      </c>
      <c r="H330" s="18"/>
    </row>
    <row r="331" spans="1:8" ht="28.5" customHeight="1" hidden="1">
      <c r="A331" s="4" t="s">
        <v>528</v>
      </c>
      <c r="B331" s="15" t="s">
        <v>1648</v>
      </c>
      <c r="C331" s="15" t="s">
        <v>923</v>
      </c>
      <c r="D331" s="15" t="s">
        <v>1960</v>
      </c>
      <c r="E331" s="15" t="s">
        <v>1644</v>
      </c>
      <c r="F331" s="18"/>
      <c r="G331" s="17">
        <f t="shared" si="16"/>
        <v>0</v>
      </c>
      <c r="H331" s="18"/>
    </row>
    <row r="332" spans="1:8" ht="18.75" customHeight="1" hidden="1">
      <c r="A332" s="37" t="s">
        <v>32</v>
      </c>
      <c r="B332" s="24" t="s">
        <v>1648</v>
      </c>
      <c r="C332" s="24" t="s">
        <v>923</v>
      </c>
      <c r="D332" s="24" t="s">
        <v>33</v>
      </c>
      <c r="E332" s="15"/>
      <c r="F332" s="17">
        <f>F333</f>
        <v>0</v>
      </c>
      <c r="G332" s="17">
        <f>G333</f>
        <v>0</v>
      </c>
      <c r="H332" s="18"/>
    </row>
    <row r="333" spans="1:8" ht="74.25" customHeight="1" hidden="1">
      <c r="A333" s="27" t="s">
        <v>877</v>
      </c>
      <c r="B333" s="24" t="s">
        <v>1648</v>
      </c>
      <c r="C333" s="24" t="s">
        <v>923</v>
      </c>
      <c r="D333" s="24" t="s">
        <v>647</v>
      </c>
      <c r="E333" s="115"/>
      <c r="F333" s="17">
        <f>F334</f>
        <v>0</v>
      </c>
      <c r="G333" s="17">
        <f aca="true" t="shared" si="17" ref="G333:G381">F333-H333</f>
        <v>0</v>
      </c>
      <c r="H333" s="18"/>
    </row>
    <row r="334" spans="1:8" ht="71.25" customHeight="1" hidden="1">
      <c r="A334" s="4" t="s">
        <v>457</v>
      </c>
      <c r="B334" s="24" t="s">
        <v>1648</v>
      </c>
      <c r="C334" s="24" t="s">
        <v>923</v>
      </c>
      <c r="D334" s="24" t="s">
        <v>647</v>
      </c>
      <c r="E334" s="15" t="s">
        <v>458</v>
      </c>
      <c r="F334" s="18"/>
      <c r="G334" s="17">
        <f t="shared" si="17"/>
        <v>0</v>
      </c>
      <c r="H334" s="18"/>
    </row>
    <row r="335" spans="1:8" ht="39.75" customHeight="1" hidden="1">
      <c r="A335" s="35" t="s">
        <v>352</v>
      </c>
      <c r="B335" s="15" t="s">
        <v>1648</v>
      </c>
      <c r="C335" s="15" t="s">
        <v>923</v>
      </c>
      <c r="D335" s="24" t="s">
        <v>353</v>
      </c>
      <c r="E335" s="15" t="s">
        <v>575</v>
      </c>
      <c r="F335" s="17">
        <f>F336</f>
        <v>0</v>
      </c>
      <c r="G335" s="17">
        <f t="shared" si="17"/>
        <v>0</v>
      </c>
      <c r="H335" s="18"/>
    </row>
    <row r="336" spans="1:8" ht="48" customHeight="1" hidden="1">
      <c r="A336" s="16" t="s">
        <v>509</v>
      </c>
      <c r="B336" s="15" t="s">
        <v>1648</v>
      </c>
      <c r="C336" s="15" t="s">
        <v>923</v>
      </c>
      <c r="D336" s="24" t="s">
        <v>353</v>
      </c>
      <c r="E336" s="15" t="s">
        <v>1196</v>
      </c>
      <c r="F336" s="18"/>
      <c r="G336" s="17">
        <f t="shared" si="17"/>
        <v>0</v>
      </c>
      <c r="H336" s="18"/>
    </row>
    <row r="337" spans="1:8" ht="24.75" customHeight="1">
      <c r="A337" s="37" t="s">
        <v>1664</v>
      </c>
      <c r="B337" s="15" t="s">
        <v>1648</v>
      </c>
      <c r="C337" s="15" t="s">
        <v>923</v>
      </c>
      <c r="D337" s="24" t="s">
        <v>1663</v>
      </c>
      <c r="E337" s="24"/>
      <c r="F337" s="17">
        <f>F338+F342</f>
        <v>113.2</v>
      </c>
      <c r="G337" s="17">
        <f t="shared" si="17"/>
        <v>113.2</v>
      </c>
      <c r="H337" s="18"/>
    </row>
    <row r="338" spans="1:8" ht="36" customHeight="1">
      <c r="A338" s="4" t="s">
        <v>1191</v>
      </c>
      <c r="B338" s="15" t="s">
        <v>1648</v>
      </c>
      <c r="C338" s="15" t="s">
        <v>923</v>
      </c>
      <c r="D338" s="24" t="s">
        <v>484</v>
      </c>
      <c r="E338" s="15" t="s">
        <v>575</v>
      </c>
      <c r="F338" s="17">
        <f>F339</f>
        <v>113.2</v>
      </c>
      <c r="G338" s="17">
        <f t="shared" si="17"/>
        <v>113.2</v>
      </c>
      <c r="H338" s="18"/>
    </row>
    <row r="339" spans="1:8" ht="46.5" customHeight="1">
      <c r="A339" s="35" t="s">
        <v>700</v>
      </c>
      <c r="B339" s="15" t="s">
        <v>1648</v>
      </c>
      <c r="C339" s="15" t="s">
        <v>923</v>
      </c>
      <c r="D339" s="24" t="s">
        <v>484</v>
      </c>
      <c r="E339" s="15" t="s">
        <v>737</v>
      </c>
      <c r="F339" s="17">
        <f>F340+F341</f>
        <v>113.2</v>
      </c>
      <c r="G339" s="17">
        <f t="shared" si="17"/>
        <v>113.2</v>
      </c>
      <c r="H339" s="18"/>
    </row>
    <row r="340" spans="1:8" ht="54.75" customHeight="1" hidden="1">
      <c r="A340" s="119" t="s">
        <v>424</v>
      </c>
      <c r="B340" s="15" t="s">
        <v>1648</v>
      </c>
      <c r="C340" s="15" t="s">
        <v>923</v>
      </c>
      <c r="D340" s="24" t="s">
        <v>484</v>
      </c>
      <c r="E340" s="15" t="s">
        <v>1366</v>
      </c>
      <c r="F340" s="18"/>
      <c r="G340" s="17">
        <f t="shared" si="17"/>
        <v>0</v>
      </c>
      <c r="H340" s="18"/>
    </row>
    <row r="341" spans="1:8" ht="54" customHeight="1">
      <c r="A341" s="200" t="s">
        <v>425</v>
      </c>
      <c r="B341" s="15" t="s">
        <v>1648</v>
      </c>
      <c r="C341" s="15" t="s">
        <v>923</v>
      </c>
      <c r="D341" s="24" t="s">
        <v>484</v>
      </c>
      <c r="E341" s="15" t="s">
        <v>737</v>
      </c>
      <c r="F341" s="18">
        <v>113.2</v>
      </c>
      <c r="G341" s="17">
        <f t="shared" si="17"/>
        <v>113.2</v>
      </c>
      <c r="H341" s="18"/>
    </row>
    <row r="342" spans="1:8" ht="42" customHeight="1" hidden="1">
      <c r="A342" s="119" t="s">
        <v>510</v>
      </c>
      <c r="B342" s="15" t="s">
        <v>1648</v>
      </c>
      <c r="C342" s="15" t="s">
        <v>923</v>
      </c>
      <c r="D342" s="24" t="s">
        <v>511</v>
      </c>
      <c r="E342" s="15" t="s">
        <v>575</v>
      </c>
      <c r="F342" s="17">
        <f>F343</f>
        <v>0</v>
      </c>
      <c r="G342" s="17">
        <f t="shared" si="17"/>
        <v>0</v>
      </c>
      <c r="H342" s="18"/>
    </row>
    <row r="343" spans="1:8" ht="54.75" customHeight="1" hidden="1">
      <c r="A343" s="35" t="s">
        <v>700</v>
      </c>
      <c r="B343" s="15" t="s">
        <v>1648</v>
      </c>
      <c r="C343" s="15" t="s">
        <v>923</v>
      </c>
      <c r="D343" s="24" t="s">
        <v>511</v>
      </c>
      <c r="E343" s="15" t="s">
        <v>737</v>
      </c>
      <c r="F343" s="18"/>
      <c r="G343" s="17">
        <f t="shared" si="17"/>
        <v>0</v>
      </c>
      <c r="H343" s="18"/>
    </row>
    <row r="344" spans="1:8" ht="18.75" customHeight="1">
      <c r="A344" s="75" t="s">
        <v>887</v>
      </c>
      <c r="B344" s="15" t="s">
        <v>1648</v>
      </c>
      <c r="C344" s="15" t="s">
        <v>1653</v>
      </c>
      <c r="D344" s="24"/>
      <c r="E344" s="15"/>
      <c r="F344" s="17">
        <f>F351+F345+F348+F356+F378</f>
        <v>194791.9</v>
      </c>
      <c r="G344" s="17">
        <f t="shared" si="17"/>
        <v>194791.9</v>
      </c>
      <c r="H344" s="18"/>
    </row>
    <row r="345" spans="1:8" ht="35.25" customHeight="1" hidden="1">
      <c r="A345" s="31" t="s">
        <v>876</v>
      </c>
      <c r="B345" s="24" t="s">
        <v>1648</v>
      </c>
      <c r="C345" s="24" t="s">
        <v>1653</v>
      </c>
      <c r="D345" s="15" t="s">
        <v>102</v>
      </c>
      <c r="E345" s="24"/>
      <c r="F345" s="17">
        <f>F346</f>
        <v>0</v>
      </c>
      <c r="G345" s="17">
        <f t="shared" si="17"/>
        <v>0</v>
      </c>
      <c r="H345" s="18"/>
    </row>
    <row r="346" spans="1:8" ht="35.25" customHeight="1" hidden="1">
      <c r="A346" s="35" t="s">
        <v>14</v>
      </c>
      <c r="B346" s="24" t="s">
        <v>1648</v>
      </c>
      <c r="C346" s="24" t="s">
        <v>1653</v>
      </c>
      <c r="D346" s="24" t="s">
        <v>15</v>
      </c>
      <c r="E346" s="24" t="s">
        <v>575</v>
      </c>
      <c r="F346" s="17">
        <f>F347</f>
        <v>0</v>
      </c>
      <c r="G346" s="17">
        <f t="shared" si="17"/>
        <v>0</v>
      </c>
      <c r="H346" s="18"/>
    </row>
    <row r="347" spans="1:8" ht="27" customHeight="1" hidden="1">
      <c r="A347" s="35" t="s">
        <v>829</v>
      </c>
      <c r="B347" s="24" t="s">
        <v>1648</v>
      </c>
      <c r="C347" s="24" t="s">
        <v>1653</v>
      </c>
      <c r="D347" s="24" t="s">
        <v>15</v>
      </c>
      <c r="E347" s="24" t="s">
        <v>167</v>
      </c>
      <c r="F347" s="18"/>
      <c r="G347" s="17">
        <f t="shared" si="17"/>
        <v>0</v>
      </c>
      <c r="H347" s="18"/>
    </row>
    <row r="348" spans="1:8" ht="40.5" customHeight="1" hidden="1">
      <c r="A348" s="35" t="s">
        <v>352</v>
      </c>
      <c r="B348" s="24" t="s">
        <v>1648</v>
      </c>
      <c r="C348" s="24" t="s">
        <v>1653</v>
      </c>
      <c r="D348" s="24" t="s">
        <v>353</v>
      </c>
      <c r="E348" s="24" t="s">
        <v>575</v>
      </c>
      <c r="F348" s="17">
        <f>F349</f>
        <v>0</v>
      </c>
      <c r="G348" s="17">
        <f t="shared" si="17"/>
        <v>0</v>
      </c>
      <c r="H348" s="18"/>
    </row>
    <row r="349" spans="1:8" ht="38.25" customHeight="1" hidden="1">
      <c r="A349" s="16" t="s">
        <v>1997</v>
      </c>
      <c r="B349" s="24" t="s">
        <v>1648</v>
      </c>
      <c r="C349" s="24" t="s">
        <v>1653</v>
      </c>
      <c r="D349" s="24" t="s">
        <v>353</v>
      </c>
      <c r="E349" s="24" t="s">
        <v>180</v>
      </c>
      <c r="F349" s="17">
        <f>F350</f>
        <v>0</v>
      </c>
      <c r="G349" s="17">
        <f t="shared" si="17"/>
        <v>0</v>
      </c>
      <c r="H349" s="18"/>
    </row>
    <row r="350" spans="1:8" ht="38.25" customHeight="1" hidden="1">
      <c r="A350" s="16" t="s">
        <v>223</v>
      </c>
      <c r="B350" s="24" t="s">
        <v>1648</v>
      </c>
      <c r="C350" s="24" t="s">
        <v>1653</v>
      </c>
      <c r="D350" s="24" t="s">
        <v>353</v>
      </c>
      <c r="E350" s="24" t="s">
        <v>180</v>
      </c>
      <c r="F350" s="18"/>
      <c r="G350" s="17">
        <f t="shared" si="17"/>
        <v>0</v>
      </c>
      <c r="H350" s="18"/>
    </row>
    <row r="351" spans="1:8" ht="24" customHeight="1">
      <c r="A351" s="31" t="s">
        <v>1148</v>
      </c>
      <c r="B351" s="15" t="s">
        <v>1648</v>
      </c>
      <c r="C351" s="15" t="s">
        <v>1653</v>
      </c>
      <c r="D351" s="24" t="s">
        <v>1149</v>
      </c>
      <c r="E351" s="24"/>
      <c r="F351" s="17">
        <f>F352</f>
        <v>1200</v>
      </c>
      <c r="G351" s="17">
        <f t="shared" si="17"/>
        <v>1200</v>
      </c>
      <c r="H351" s="18"/>
    </row>
    <row r="352" spans="1:8" ht="48" customHeight="1">
      <c r="A352" s="35" t="s">
        <v>145</v>
      </c>
      <c r="B352" s="15" t="s">
        <v>1648</v>
      </c>
      <c r="C352" s="15" t="s">
        <v>1653</v>
      </c>
      <c r="D352" s="24" t="s">
        <v>143</v>
      </c>
      <c r="E352" s="24" t="s">
        <v>575</v>
      </c>
      <c r="F352" s="17">
        <f>F353</f>
        <v>1200</v>
      </c>
      <c r="G352" s="17">
        <f t="shared" si="17"/>
        <v>1200</v>
      </c>
      <c r="H352" s="18"/>
    </row>
    <row r="353" spans="1:8" ht="33" customHeight="1">
      <c r="A353" s="35" t="s">
        <v>352</v>
      </c>
      <c r="B353" s="24" t="s">
        <v>1648</v>
      </c>
      <c r="C353" s="24" t="s">
        <v>1653</v>
      </c>
      <c r="D353" s="24" t="s">
        <v>353</v>
      </c>
      <c r="E353" s="15" t="s">
        <v>575</v>
      </c>
      <c r="F353" s="17">
        <f>F355+F354</f>
        <v>1200</v>
      </c>
      <c r="G353" s="17">
        <f t="shared" si="17"/>
        <v>1200</v>
      </c>
      <c r="H353" s="18"/>
    </row>
    <row r="354" spans="1:8" ht="33" customHeight="1">
      <c r="A354" s="16" t="s">
        <v>884</v>
      </c>
      <c r="B354" s="24" t="s">
        <v>1648</v>
      </c>
      <c r="C354" s="24" t="s">
        <v>1653</v>
      </c>
      <c r="D354" s="24" t="s">
        <v>353</v>
      </c>
      <c r="E354" s="15" t="s">
        <v>699</v>
      </c>
      <c r="F354" s="18">
        <v>300</v>
      </c>
      <c r="G354" s="17">
        <f t="shared" si="17"/>
        <v>300</v>
      </c>
      <c r="H354" s="18"/>
    </row>
    <row r="355" spans="1:8" ht="26.25" customHeight="1">
      <c r="A355" s="155" t="s">
        <v>1535</v>
      </c>
      <c r="B355" s="15" t="s">
        <v>1648</v>
      </c>
      <c r="C355" s="15" t="s">
        <v>1653</v>
      </c>
      <c r="D355" s="24" t="s">
        <v>353</v>
      </c>
      <c r="E355" s="24" t="s">
        <v>1536</v>
      </c>
      <c r="F355" s="18">
        <v>900</v>
      </c>
      <c r="G355" s="17">
        <f t="shared" si="17"/>
        <v>900</v>
      </c>
      <c r="H355" s="18"/>
    </row>
    <row r="356" spans="1:8" ht="15">
      <c r="A356" s="31" t="s">
        <v>887</v>
      </c>
      <c r="B356" s="15" t="s">
        <v>1648</v>
      </c>
      <c r="C356" s="15" t="s">
        <v>1653</v>
      </c>
      <c r="D356" s="15" t="s">
        <v>886</v>
      </c>
      <c r="E356" s="15"/>
      <c r="F356" s="17">
        <f>F357+F360+F363+F368</f>
        <v>180856.3</v>
      </c>
      <c r="G356" s="17">
        <f t="shared" si="17"/>
        <v>180856.3</v>
      </c>
      <c r="H356" s="18"/>
    </row>
    <row r="357" spans="1:8" ht="24">
      <c r="A357" s="16" t="s">
        <v>888</v>
      </c>
      <c r="B357" s="15" t="s">
        <v>1648</v>
      </c>
      <c r="C357" s="15" t="s">
        <v>1653</v>
      </c>
      <c r="D357" s="15" t="s">
        <v>1556</v>
      </c>
      <c r="E357" s="15" t="s">
        <v>575</v>
      </c>
      <c r="F357" s="17">
        <f>F358</f>
        <v>84848</v>
      </c>
      <c r="G357" s="17">
        <f t="shared" si="17"/>
        <v>84848</v>
      </c>
      <c r="H357" s="18">
        <v>0</v>
      </c>
    </row>
    <row r="358" spans="1:8" ht="24">
      <c r="A358" s="155" t="s">
        <v>172</v>
      </c>
      <c r="B358" s="15" t="s">
        <v>1648</v>
      </c>
      <c r="C358" s="15" t="s">
        <v>1653</v>
      </c>
      <c r="D358" s="15" t="s">
        <v>1556</v>
      </c>
      <c r="E358" s="15" t="s">
        <v>1644</v>
      </c>
      <c r="F358" s="17">
        <f>F359</f>
        <v>84848</v>
      </c>
      <c r="G358" s="17">
        <f t="shared" si="17"/>
        <v>84848</v>
      </c>
      <c r="H358" s="18"/>
    </row>
    <row r="359" spans="1:8" ht="24">
      <c r="A359" s="155" t="s">
        <v>1535</v>
      </c>
      <c r="B359" s="15" t="s">
        <v>1648</v>
      </c>
      <c r="C359" s="15" t="s">
        <v>1653</v>
      </c>
      <c r="D359" s="15" t="s">
        <v>1556</v>
      </c>
      <c r="E359" s="15" t="s">
        <v>1536</v>
      </c>
      <c r="F359" s="18">
        <v>84848</v>
      </c>
      <c r="G359" s="17">
        <f t="shared" si="17"/>
        <v>84848</v>
      </c>
      <c r="H359" s="18"/>
    </row>
    <row r="360" spans="1:8" ht="48">
      <c r="A360" s="35" t="s">
        <v>561</v>
      </c>
      <c r="B360" s="15" t="s">
        <v>1648</v>
      </c>
      <c r="C360" s="15" t="s">
        <v>1653</v>
      </c>
      <c r="D360" s="15" t="s">
        <v>1176</v>
      </c>
      <c r="E360" s="15" t="s">
        <v>575</v>
      </c>
      <c r="F360" s="17">
        <f>F361</f>
        <v>20309.7</v>
      </c>
      <c r="G360" s="17">
        <f t="shared" si="17"/>
        <v>20309.7</v>
      </c>
      <c r="H360" s="18"/>
    </row>
    <row r="361" spans="1:8" ht="24">
      <c r="A361" s="16" t="s">
        <v>270</v>
      </c>
      <c r="B361" s="15" t="s">
        <v>1648</v>
      </c>
      <c r="C361" s="15" t="s">
        <v>1653</v>
      </c>
      <c r="D361" s="15" t="s">
        <v>1176</v>
      </c>
      <c r="E361" s="15" t="s">
        <v>271</v>
      </c>
      <c r="F361" s="17">
        <f>F362</f>
        <v>20309.7</v>
      </c>
      <c r="G361" s="17">
        <f t="shared" si="17"/>
        <v>20309.7</v>
      </c>
      <c r="H361" s="18"/>
    </row>
    <row r="362" spans="1:8" ht="24">
      <c r="A362" s="16" t="s">
        <v>269</v>
      </c>
      <c r="B362" s="15" t="s">
        <v>1648</v>
      </c>
      <c r="C362" s="15" t="s">
        <v>1653</v>
      </c>
      <c r="D362" s="15" t="s">
        <v>1176</v>
      </c>
      <c r="E362" s="15" t="s">
        <v>570</v>
      </c>
      <c r="F362" s="18">
        <v>20309.7</v>
      </c>
      <c r="G362" s="17">
        <f t="shared" si="17"/>
        <v>20309.7</v>
      </c>
      <c r="H362" s="18"/>
    </row>
    <row r="363" spans="1:8" ht="24">
      <c r="A363" s="35" t="s">
        <v>1192</v>
      </c>
      <c r="B363" s="15" t="s">
        <v>1648</v>
      </c>
      <c r="C363" s="15" t="s">
        <v>1653</v>
      </c>
      <c r="D363" s="15" t="s">
        <v>1557</v>
      </c>
      <c r="E363" s="15" t="s">
        <v>575</v>
      </c>
      <c r="F363" s="17">
        <f>F364</f>
        <v>14010.6</v>
      </c>
      <c r="G363" s="17">
        <f t="shared" si="17"/>
        <v>14010.6</v>
      </c>
      <c r="H363" s="18"/>
    </row>
    <row r="364" spans="1:8" ht="24">
      <c r="A364" s="16" t="s">
        <v>270</v>
      </c>
      <c r="B364" s="15" t="s">
        <v>1648</v>
      </c>
      <c r="C364" s="15" t="s">
        <v>1653</v>
      </c>
      <c r="D364" s="15" t="s">
        <v>1557</v>
      </c>
      <c r="E364" s="15" t="s">
        <v>271</v>
      </c>
      <c r="F364" s="17">
        <f>F365+F366</f>
        <v>14010.6</v>
      </c>
      <c r="G364" s="17">
        <f t="shared" si="17"/>
        <v>14010.6</v>
      </c>
      <c r="H364" s="18"/>
    </row>
    <row r="365" spans="1:8" ht="24">
      <c r="A365" s="16" t="s">
        <v>269</v>
      </c>
      <c r="B365" s="15" t="s">
        <v>1648</v>
      </c>
      <c r="C365" s="15" t="s">
        <v>1653</v>
      </c>
      <c r="D365" s="15" t="s">
        <v>1557</v>
      </c>
      <c r="E365" s="15" t="s">
        <v>570</v>
      </c>
      <c r="F365" s="18">
        <v>14000</v>
      </c>
      <c r="G365" s="17">
        <f t="shared" si="17"/>
        <v>14000</v>
      </c>
      <c r="H365" s="18"/>
    </row>
    <row r="366" spans="1:8" ht="24">
      <c r="A366" s="16" t="s">
        <v>1997</v>
      </c>
      <c r="B366" s="15" t="s">
        <v>1648</v>
      </c>
      <c r="C366" s="15" t="s">
        <v>1653</v>
      </c>
      <c r="D366" s="15" t="s">
        <v>1557</v>
      </c>
      <c r="E366" s="15" t="s">
        <v>180</v>
      </c>
      <c r="F366" s="17">
        <f>F367</f>
        <v>10.6</v>
      </c>
      <c r="G366" s="17">
        <f t="shared" si="17"/>
        <v>10.6</v>
      </c>
      <c r="H366" s="18"/>
    </row>
    <row r="367" spans="1:8" ht="36">
      <c r="A367" s="16" t="s">
        <v>779</v>
      </c>
      <c r="B367" s="15" t="s">
        <v>1648</v>
      </c>
      <c r="C367" s="15" t="s">
        <v>1653</v>
      </c>
      <c r="D367" s="15" t="s">
        <v>1557</v>
      </c>
      <c r="E367" s="15" t="s">
        <v>180</v>
      </c>
      <c r="F367" s="18">
        <v>10.6</v>
      </c>
      <c r="G367" s="17">
        <f t="shared" si="17"/>
        <v>10.6</v>
      </c>
      <c r="H367" s="18"/>
    </row>
    <row r="368" spans="1:8" ht="24">
      <c r="A368" s="16" t="s">
        <v>2018</v>
      </c>
      <c r="B368" s="15" t="s">
        <v>1648</v>
      </c>
      <c r="C368" s="15" t="s">
        <v>1653</v>
      </c>
      <c r="D368" s="15" t="s">
        <v>2019</v>
      </c>
      <c r="E368" s="15" t="s">
        <v>575</v>
      </c>
      <c r="F368" s="17">
        <f>F369+F370+F371</f>
        <v>61687.99999999999</v>
      </c>
      <c r="G368" s="17">
        <f t="shared" si="17"/>
        <v>61687.99999999999</v>
      </c>
      <c r="H368" s="18"/>
    </row>
    <row r="369" spans="1:8" ht="36">
      <c r="A369" s="16" t="s">
        <v>884</v>
      </c>
      <c r="B369" s="15" t="s">
        <v>1648</v>
      </c>
      <c r="C369" s="15" t="s">
        <v>1653</v>
      </c>
      <c r="D369" s="15" t="s">
        <v>2019</v>
      </c>
      <c r="E369" s="15" t="s">
        <v>699</v>
      </c>
      <c r="F369" s="18">
        <f>4118.5+90.1</f>
        <v>4208.6</v>
      </c>
      <c r="G369" s="17">
        <f t="shared" si="17"/>
        <v>4208.6</v>
      </c>
      <c r="H369" s="18"/>
    </row>
    <row r="370" spans="1:8" ht="24.75" hidden="1">
      <c r="A370" s="155" t="s">
        <v>1535</v>
      </c>
      <c r="B370" s="15" t="s">
        <v>1648</v>
      </c>
      <c r="C370" s="15" t="s">
        <v>1653</v>
      </c>
      <c r="D370" s="15" t="s">
        <v>2019</v>
      </c>
      <c r="E370" s="15" t="s">
        <v>1536</v>
      </c>
      <c r="F370" s="18">
        <f>1942-1942</f>
        <v>0</v>
      </c>
      <c r="G370" s="17">
        <f t="shared" si="17"/>
        <v>0</v>
      </c>
      <c r="H370" s="18"/>
    </row>
    <row r="371" spans="1:8" ht="24">
      <c r="A371" s="16" t="s">
        <v>270</v>
      </c>
      <c r="B371" s="15" t="s">
        <v>1648</v>
      </c>
      <c r="C371" s="15" t="s">
        <v>1653</v>
      </c>
      <c r="D371" s="15" t="s">
        <v>2019</v>
      </c>
      <c r="E371" s="15" t="s">
        <v>271</v>
      </c>
      <c r="F371" s="17">
        <f>F372+F373</f>
        <v>57479.399999999994</v>
      </c>
      <c r="G371" s="17">
        <f t="shared" si="17"/>
        <v>57479.399999999994</v>
      </c>
      <c r="H371" s="18"/>
    </row>
    <row r="372" spans="1:8" ht="24">
      <c r="A372" s="16" t="s">
        <v>269</v>
      </c>
      <c r="B372" s="15" t="s">
        <v>1648</v>
      </c>
      <c r="C372" s="15" t="s">
        <v>1653</v>
      </c>
      <c r="D372" s="15" t="s">
        <v>2019</v>
      </c>
      <c r="E372" s="15" t="s">
        <v>570</v>
      </c>
      <c r="F372" s="77">
        <f>45710.1+283+136.5</f>
        <v>46129.6</v>
      </c>
      <c r="G372" s="17">
        <f t="shared" si="17"/>
        <v>46129.6</v>
      </c>
      <c r="H372" s="18"/>
    </row>
    <row r="373" spans="1:8" ht="24">
      <c r="A373" s="16" t="s">
        <v>1997</v>
      </c>
      <c r="B373" s="15" t="s">
        <v>1648</v>
      </c>
      <c r="C373" s="15" t="s">
        <v>1653</v>
      </c>
      <c r="D373" s="15" t="s">
        <v>2019</v>
      </c>
      <c r="E373" s="15" t="s">
        <v>180</v>
      </c>
      <c r="F373" s="17">
        <f>F374+F375+F376+F377</f>
        <v>11349.8</v>
      </c>
      <c r="G373" s="17">
        <f t="shared" si="17"/>
        <v>11349.8</v>
      </c>
      <c r="H373" s="17"/>
    </row>
    <row r="374" spans="1:8" ht="36">
      <c r="A374" s="16" t="s">
        <v>128</v>
      </c>
      <c r="B374" s="15" t="s">
        <v>1648</v>
      </c>
      <c r="C374" s="15" t="s">
        <v>1653</v>
      </c>
      <c r="D374" s="15" t="s">
        <v>2019</v>
      </c>
      <c r="E374" s="15" t="s">
        <v>180</v>
      </c>
      <c r="F374" s="18">
        <f>4100+1040</f>
        <v>5140</v>
      </c>
      <c r="G374" s="17">
        <f t="shared" si="17"/>
        <v>5140</v>
      </c>
      <c r="H374" s="17"/>
    </row>
    <row r="375" spans="1:8" ht="24">
      <c r="A375" s="16" t="s">
        <v>1987</v>
      </c>
      <c r="B375" s="15" t="s">
        <v>1648</v>
      </c>
      <c r="C375" s="15" t="s">
        <v>1653</v>
      </c>
      <c r="D375" s="15" t="s">
        <v>2019</v>
      </c>
      <c r="E375" s="15" t="s">
        <v>180</v>
      </c>
      <c r="F375" s="18">
        <v>3600</v>
      </c>
      <c r="G375" s="17">
        <f t="shared" si="17"/>
        <v>3600</v>
      </c>
      <c r="H375" s="17"/>
    </row>
    <row r="376" spans="1:8" ht="24">
      <c r="A376" s="16" t="s">
        <v>803</v>
      </c>
      <c r="B376" s="15" t="s">
        <v>1648</v>
      </c>
      <c r="C376" s="15" t="s">
        <v>1653</v>
      </c>
      <c r="D376" s="15" t="s">
        <v>2019</v>
      </c>
      <c r="E376" s="15" t="s">
        <v>180</v>
      </c>
      <c r="F376" s="18">
        <v>129</v>
      </c>
      <c r="G376" s="17">
        <f t="shared" si="17"/>
        <v>129</v>
      </c>
      <c r="H376" s="17"/>
    </row>
    <row r="377" spans="1:8" ht="48">
      <c r="A377" s="16" t="s">
        <v>1504</v>
      </c>
      <c r="B377" s="15" t="s">
        <v>1648</v>
      </c>
      <c r="C377" s="15" t="s">
        <v>1653</v>
      </c>
      <c r="D377" s="15" t="s">
        <v>2019</v>
      </c>
      <c r="E377" s="15" t="s">
        <v>180</v>
      </c>
      <c r="F377" s="18">
        <v>2480.8</v>
      </c>
      <c r="G377" s="17">
        <f t="shared" si="17"/>
        <v>2480.8</v>
      </c>
      <c r="H377" s="17"/>
    </row>
    <row r="378" spans="1:8" ht="24">
      <c r="A378" s="37" t="s">
        <v>1664</v>
      </c>
      <c r="B378" s="15" t="s">
        <v>1648</v>
      </c>
      <c r="C378" s="15" t="s">
        <v>1653</v>
      </c>
      <c r="D378" s="15" t="s">
        <v>1663</v>
      </c>
      <c r="E378" s="15"/>
      <c r="F378" s="17">
        <f>F379</f>
        <v>12735.6</v>
      </c>
      <c r="G378" s="17">
        <f t="shared" si="17"/>
        <v>12735.6</v>
      </c>
      <c r="H378" s="17"/>
    </row>
    <row r="379" spans="1:8" ht="48">
      <c r="A379" s="27" t="s">
        <v>308</v>
      </c>
      <c r="B379" s="15" t="s">
        <v>1648</v>
      </c>
      <c r="C379" s="15" t="s">
        <v>1653</v>
      </c>
      <c r="D379" s="15" t="s">
        <v>400</v>
      </c>
      <c r="E379" s="15" t="s">
        <v>575</v>
      </c>
      <c r="F379" s="17">
        <f>F381+F380</f>
        <v>12735.6</v>
      </c>
      <c r="G379" s="17">
        <f t="shared" si="17"/>
        <v>12735.6</v>
      </c>
      <c r="H379" s="18"/>
    </row>
    <row r="380" spans="1:8" ht="36" hidden="1">
      <c r="A380" s="16" t="s">
        <v>884</v>
      </c>
      <c r="B380" s="15" t="s">
        <v>1648</v>
      </c>
      <c r="C380" s="15" t="s">
        <v>1653</v>
      </c>
      <c r="D380" s="15" t="s">
        <v>400</v>
      </c>
      <c r="E380" s="15" t="s">
        <v>699</v>
      </c>
      <c r="F380" s="77">
        <v>0</v>
      </c>
      <c r="G380" s="17">
        <f t="shared" si="17"/>
        <v>0</v>
      </c>
      <c r="H380" s="18"/>
    </row>
    <row r="381" spans="1:8" ht="24">
      <c r="A381" s="155" t="s">
        <v>1535</v>
      </c>
      <c r="B381" s="15" t="s">
        <v>1648</v>
      </c>
      <c r="C381" s="15" t="s">
        <v>1653</v>
      </c>
      <c r="D381" s="15" t="s">
        <v>400</v>
      </c>
      <c r="E381" s="15" t="s">
        <v>1536</v>
      </c>
      <c r="F381" s="18">
        <v>12735.6</v>
      </c>
      <c r="G381" s="17">
        <f t="shared" si="17"/>
        <v>12735.6</v>
      </c>
      <c r="H381" s="17"/>
    </row>
    <row r="382" spans="1:8" ht="15.75" customHeight="1">
      <c r="A382" s="22" t="s">
        <v>2003</v>
      </c>
      <c r="B382" s="21" t="s">
        <v>1647</v>
      </c>
      <c r="C382" s="25"/>
      <c r="D382" s="25"/>
      <c r="E382" s="25"/>
      <c r="F382" s="2">
        <f>F383+F390</f>
        <v>2200</v>
      </c>
      <c r="G382" s="2">
        <f>G383+G390</f>
        <v>2200</v>
      </c>
      <c r="H382" s="2">
        <f>H383+H390</f>
        <v>0</v>
      </c>
    </row>
    <row r="383" spans="1:8" ht="24">
      <c r="A383" s="29" t="s">
        <v>601</v>
      </c>
      <c r="B383" s="15" t="s">
        <v>1647</v>
      </c>
      <c r="C383" s="15" t="s">
        <v>1653</v>
      </c>
      <c r="D383" s="25"/>
      <c r="E383" s="25"/>
      <c r="F383" s="17">
        <f aca="true" t="shared" si="18" ref="F383:H384">F384</f>
        <v>2200</v>
      </c>
      <c r="G383" s="17">
        <f t="shared" si="18"/>
        <v>2200</v>
      </c>
      <c r="H383" s="17">
        <f t="shared" si="18"/>
        <v>0</v>
      </c>
    </row>
    <row r="384" spans="1:8" ht="24">
      <c r="A384" s="30" t="s">
        <v>1053</v>
      </c>
      <c r="B384" s="15" t="s">
        <v>1647</v>
      </c>
      <c r="C384" s="15" t="s">
        <v>1653</v>
      </c>
      <c r="D384" s="15" t="s">
        <v>1657</v>
      </c>
      <c r="E384" s="25"/>
      <c r="F384" s="17">
        <f>F385+F389</f>
        <v>2200</v>
      </c>
      <c r="G384" s="17">
        <f>G385+G389</f>
        <v>2200</v>
      </c>
      <c r="H384" s="17">
        <f t="shared" si="18"/>
        <v>0</v>
      </c>
    </row>
    <row r="385" spans="1:8" ht="24">
      <c r="A385" s="16" t="s">
        <v>1962</v>
      </c>
      <c r="B385" s="25" t="s">
        <v>1647</v>
      </c>
      <c r="C385" s="25" t="s">
        <v>1653</v>
      </c>
      <c r="D385" s="15" t="s">
        <v>1054</v>
      </c>
      <c r="E385" s="25" t="s">
        <v>575</v>
      </c>
      <c r="F385" s="17">
        <f>F386+F394</f>
        <v>2000</v>
      </c>
      <c r="G385" s="17">
        <f>F385-H385</f>
        <v>2000</v>
      </c>
      <c r="H385" s="38"/>
    </row>
    <row r="386" spans="1:8" ht="24">
      <c r="A386" s="155" t="s">
        <v>172</v>
      </c>
      <c r="B386" s="15" t="s">
        <v>1647</v>
      </c>
      <c r="C386" s="15" t="s">
        <v>1653</v>
      </c>
      <c r="D386" s="15" t="s">
        <v>1054</v>
      </c>
      <c r="E386" s="15" t="s">
        <v>1644</v>
      </c>
      <c r="F386" s="17">
        <f>F387+F388</f>
        <v>2000</v>
      </c>
      <c r="G386" s="17">
        <f>F386-H386</f>
        <v>2000</v>
      </c>
      <c r="H386" s="38"/>
    </row>
    <row r="387" spans="1:8" ht="36.75" hidden="1">
      <c r="A387" s="155" t="s">
        <v>95</v>
      </c>
      <c r="B387" s="15" t="s">
        <v>1647</v>
      </c>
      <c r="C387" s="15" t="s">
        <v>1653</v>
      </c>
      <c r="D387" s="15" t="s">
        <v>1054</v>
      </c>
      <c r="E387" s="15" t="s">
        <v>699</v>
      </c>
      <c r="F387" s="18"/>
      <c r="G387" s="17">
        <f>F387-H387</f>
        <v>0</v>
      </c>
      <c r="H387" s="38"/>
    </row>
    <row r="388" spans="1:8" ht="24">
      <c r="A388" s="155" t="s">
        <v>1535</v>
      </c>
      <c r="B388" s="15" t="s">
        <v>1647</v>
      </c>
      <c r="C388" s="15" t="s">
        <v>1653</v>
      </c>
      <c r="D388" s="15" t="s">
        <v>1054</v>
      </c>
      <c r="E388" s="15" t="s">
        <v>1536</v>
      </c>
      <c r="F388" s="18">
        <v>2000</v>
      </c>
      <c r="G388" s="17">
        <f>F388-H388</f>
        <v>2000</v>
      </c>
      <c r="H388" s="38"/>
    </row>
    <row r="389" spans="1:8" ht="24">
      <c r="A389" s="16" t="s">
        <v>1977</v>
      </c>
      <c r="B389" s="15" t="s">
        <v>1647</v>
      </c>
      <c r="C389" s="15" t="s">
        <v>1653</v>
      </c>
      <c r="D389" s="15" t="s">
        <v>1054</v>
      </c>
      <c r="E389" s="15" t="s">
        <v>1978</v>
      </c>
      <c r="F389" s="18">
        <v>200</v>
      </c>
      <c r="G389" s="17">
        <f>F389-H389</f>
        <v>200</v>
      </c>
      <c r="H389" s="38"/>
    </row>
    <row r="390" spans="1:8" ht="24" hidden="1">
      <c r="A390" s="29" t="s">
        <v>1961</v>
      </c>
      <c r="B390" s="15" t="s">
        <v>1647</v>
      </c>
      <c r="C390" s="15" t="s">
        <v>1648</v>
      </c>
      <c r="D390" s="15"/>
      <c r="E390" s="15"/>
      <c r="F390" s="17">
        <f aca="true" t="shared" si="19" ref="F390:H391">F391</f>
        <v>0</v>
      </c>
      <c r="G390" s="17">
        <f t="shared" si="19"/>
        <v>0</v>
      </c>
      <c r="H390" s="17">
        <f t="shared" si="19"/>
        <v>0</v>
      </c>
    </row>
    <row r="391" spans="1:8" ht="24" hidden="1">
      <c r="A391" s="30" t="s">
        <v>1053</v>
      </c>
      <c r="B391" s="15" t="s">
        <v>1647</v>
      </c>
      <c r="C391" s="15" t="s">
        <v>1648</v>
      </c>
      <c r="D391" s="15" t="s">
        <v>1657</v>
      </c>
      <c r="E391" s="15"/>
      <c r="F391" s="17">
        <f t="shared" si="19"/>
        <v>0</v>
      </c>
      <c r="G391" s="17">
        <f t="shared" si="19"/>
        <v>0</v>
      </c>
      <c r="H391" s="17">
        <f t="shared" si="19"/>
        <v>0</v>
      </c>
    </row>
    <row r="392" spans="1:8" ht="24.75" hidden="1">
      <c r="A392" s="16" t="s">
        <v>1962</v>
      </c>
      <c r="B392" s="15" t="s">
        <v>1647</v>
      </c>
      <c r="C392" s="15" t="s">
        <v>1648</v>
      </c>
      <c r="D392" s="15" t="s">
        <v>1054</v>
      </c>
      <c r="E392" s="15" t="s">
        <v>575</v>
      </c>
      <c r="F392" s="17">
        <f>F393</f>
        <v>0</v>
      </c>
      <c r="G392" s="17">
        <f>F392-H392</f>
        <v>0</v>
      </c>
      <c r="H392" s="18"/>
    </row>
    <row r="393" spans="1:8" ht="24.75" hidden="1">
      <c r="A393" s="16" t="s">
        <v>230</v>
      </c>
      <c r="B393" s="15" t="s">
        <v>1647</v>
      </c>
      <c r="C393" s="15" t="s">
        <v>1648</v>
      </c>
      <c r="D393" s="15" t="s">
        <v>1054</v>
      </c>
      <c r="E393" s="15" t="s">
        <v>17</v>
      </c>
      <c r="F393" s="18"/>
      <c r="G393" s="17">
        <f>F393-H393</f>
        <v>0</v>
      </c>
      <c r="H393" s="18"/>
    </row>
    <row r="394" spans="1:8" ht="24.75" hidden="1">
      <c r="A394" s="16" t="s">
        <v>1977</v>
      </c>
      <c r="B394" s="15" t="s">
        <v>1647</v>
      </c>
      <c r="C394" s="15" t="s">
        <v>1648</v>
      </c>
      <c r="D394" s="15" t="s">
        <v>1054</v>
      </c>
      <c r="E394" s="15" t="s">
        <v>1978</v>
      </c>
      <c r="F394" s="18"/>
      <c r="G394" s="17">
        <f>F394-H394</f>
        <v>0</v>
      </c>
      <c r="H394" s="18"/>
    </row>
    <row r="395" spans="1:8" ht="15" customHeight="1">
      <c r="A395" s="22" t="s">
        <v>440</v>
      </c>
      <c r="B395" s="21" t="s">
        <v>1651</v>
      </c>
      <c r="C395" s="26"/>
      <c r="D395" s="26"/>
      <c r="E395" s="26"/>
      <c r="F395" s="2">
        <f>F396+F477+F637+F649+F712+F634</f>
        <v>2410218.4000000004</v>
      </c>
      <c r="G395" s="2">
        <f>G396+G477+G637+G649+G712+G634</f>
        <v>1534382.4</v>
      </c>
      <c r="H395" s="2">
        <f>H396+H477+H637+H649+H712+H634</f>
        <v>875836</v>
      </c>
    </row>
    <row r="396" spans="1:8" ht="15">
      <c r="A396" s="29" t="s">
        <v>441</v>
      </c>
      <c r="B396" s="15" t="s">
        <v>1651</v>
      </c>
      <c r="C396" s="15" t="s">
        <v>1624</v>
      </c>
      <c r="D396" s="39"/>
      <c r="E396" s="39"/>
      <c r="F396" s="17">
        <f>F397+F411+F441+F424+F434</f>
        <v>968913.4</v>
      </c>
      <c r="G396" s="17">
        <f>G397+G411+G441+G424+G434</f>
        <v>968913.4</v>
      </c>
      <c r="H396" s="17">
        <f>H397+H411+H441+H424</f>
        <v>0</v>
      </c>
    </row>
    <row r="397" spans="1:8" ht="36">
      <c r="A397" s="36" t="s">
        <v>645</v>
      </c>
      <c r="B397" s="15" t="s">
        <v>1651</v>
      </c>
      <c r="C397" s="15" t="s">
        <v>1624</v>
      </c>
      <c r="D397" s="15" t="s">
        <v>102</v>
      </c>
      <c r="E397" s="15"/>
      <c r="F397" s="17">
        <f>F398</f>
        <v>9870.3</v>
      </c>
      <c r="G397" s="17">
        <f>G398</f>
        <v>9870.3</v>
      </c>
      <c r="H397" s="17">
        <f>H398</f>
        <v>0</v>
      </c>
    </row>
    <row r="398" spans="1:8" ht="35.25" customHeight="1">
      <c r="A398" s="35" t="s">
        <v>354</v>
      </c>
      <c r="B398" s="15" t="s">
        <v>1651</v>
      </c>
      <c r="C398" s="15" t="s">
        <v>1624</v>
      </c>
      <c r="D398" s="15" t="s">
        <v>15</v>
      </c>
      <c r="E398" s="15" t="s">
        <v>571</v>
      </c>
      <c r="F398" s="17">
        <f>F407+F408+F409+F410</f>
        <v>9870.3</v>
      </c>
      <c r="G398" s="17">
        <f aca="true" t="shared" si="20" ref="G398:G410">F398-H398</f>
        <v>9870.3</v>
      </c>
      <c r="H398" s="18">
        <v>0</v>
      </c>
    </row>
    <row r="399" spans="1:8" ht="24" customHeight="1" hidden="1">
      <c r="A399" s="35" t="s">
        <v>224</v>
      </c>
      <c r="B399" s="15" t="s">
        <v>1651</v>
      </c>
      <c r="C399" s="15" t="s">
        <v>1624</v>
      </c>
      <c r="D399" s="15" t="s">
        <v>15</v>
      </c>
      <c r="E399" s="39" t="s">
        <v>738</v>
      </c>
      <c r="F399" s="18"/>
      <c r="G399" s="17">
        <f t="shared" si="20"/>
        <v>0</v>
      </c>
      <c r="H399" s="18"/>
    </row>
    <row r="400" spans="1:8" ht="47.25" customHeight="1" hidden="1">
      <c r="A400" s="35" t="s">
        <v>137</v>
      </c>
      <c r="B400" s="15" t="s">
        <v>1651</v>
      </c>
      <c r="C400" s="15" t="s">
        <v>1624</v>
      </c>
      <c r="D400" s="15" t="s">
        <v>15</v>
      </c>
      <c r="E400" s="39" t="s">
        <v>738</v>
      </c>
      <c r="F400" s="18"/>
      <c r="G400" s="17">
        <f t="shared" si="20"/>
        <v>0</v>
      </c>
      <c r="H400" s="18"/>
    </row>
    <row r="401" spans="1:8" ht="66" customHeight="1" hidden="1">
      <c r="A401" s="35" t="s">
        <v>1121</v>
      </c>
      <c r="B401" s="15" t="s">
        <v>1651</v>
      </c>
      <c r="C401" s="15" t="s">
        <v>1624</v>
      </c>
      <c r="D401" s="15" t="s">
        <v>15</v>
      </c>
      <c r="E401" s="39" t="s">
        <v>738</v>
      </c>
      <c r="F401" s="18"/>
      <c r="G401" s="17">
        <f t="shared" si="20"/>
        <v>0</v>
      </c>
      <c r="H401" s="18"/>
    </row>
    <row r="402" spans="1:8" ht="66" customHeight="1" hidden="1">
      <c r="A402" s="35" t="s">
        <v>444</v>
      </c>
      <c r="B402" s="15" t="s">
        <v>1651</v>
      </c>
      <c r="C402" s="15" t="s">
        <v>1624</v>
      </c>
      <c r="D402" s="15" t="s">
        <v>15</v>
      </c>
      <c r="E402" s="39" t="s">
        <v>738</v>
      </c>
      <c r="F402" s="18"/>
      <c r="G402" s="17">
        <f t="shared" si="20"/>
        <v>0</v>
      </c>
      <c r="H402" s="18"/>
    </row>
    <row r="403" spans="1:8" ht="55.5" customHeight="1" hidden="1">
      <c r="A403" s="35" t="s">
        <v>972</v>
      </c>
      <c r="B403" s="15" t="s">
        <v>1651</v>
      </c>
      <c r="C403" s="15" t="s">
        <v>1624</v>
      </c>
      <c r="D403" s="15" t="s">
        <v>15</v>
      </c>
      <c r="E403" s="39" t="s">
        <v>738</v>
      </c>
      <c r="F403" s="18"/>
      <c r="G403" s="17">
        <f t="shared" si="20"/>
        <v>0</v>
      </c>
      <c r="H403" s="18"/>
    </row>
    <row r="404" spans="1:8" ht="47.25" customHeight="1" hidden="1">
      <c r="A404" s="35" t="s">
        <v>1022</v>
      </c>
      <c r="B404" s="15" t="s">
        <v>1651</v>
      </c>
      <c r="C404" s="15" t="s">
        <v>1624</v>
      </c>
      <c r="D404" s="15" t="s">
        <v>15</v>
      </c>
      <c r="E404" s="39" t="s">
        <v>738</v>
      </c>
      <c r="F404" s="18"/>
      <c r="G404" s="17">
        <f t="shared" si="20"/>
        <v>0</v>
      </c>
      <c r="H404" s="18"/>
    </row>
    <row r="405" spans="1:8" ht="47.25" customHeight="1" hidden="1">
      <c r="A405" s="35" t="s">
        <v>1023</v>
      </c>
      <c r="B405" s="15" t="s">
        <v>1651</v>
      </c>
      <c r="C405" s="15" t="s">
        <v>1624</v>
      </c>
      <c r="D405" s="15" t="s">
        <v>15</v>
      </c>
      <c r="E405" s="39" t="s">
        <v>738</v>
      </c>
      <c r="F405" s="18"/>
      <c r="G405" s="17">
        <f t="shared" si="20"/>
        <v>0</v>
      </c>
      <c r="H405" s="18"/>
    </row>
    <row r="406" spans="1:8" ht="47.25" customHeight="1" hidden="1">
      <c r="A406" s="35" t="s">
        <v>1024</v>
      </c>
      <c r="B406" s="15" t="s">
        <v>1651</v>
      </c>
      <c r="C406" s="15" t="s">
        <v>1624</v>
      </c>
      <c r="D406" s="15" t="s">
        <v>15</v>
      </c>
      <c r="E406" s="39" t="s">
        <v>738</v>
      </c>
      <c r="F406" s="18"/>
      <c r="G406" s="17">
        <f t="shared" si="20"/>
        <v>0</v>
      </c>
      <c r="H406" s="18"/>
    </row>
    <row r="407" spans="1:8" ht="47.25" customHeight="1">
      <c r="A407" s="35" t="s">
        <v>190</v>
      </c>
      <c r="B407" s="15" t="s">
        <v>1651</v>
      </c>
      <c r="C407" s="15" t="s">
        <v>1624</v>
      </c>
      <c r="D407" s="15" t="s">
        <v>15</v>
      </c>
      <c r="E407" s="39" t="s">
        <v>571</v>
      </c>
      <c r="F407" s="18">
        <f>1068.7+2801.6</f>
        <v>3870.3</v>
      </c>
      <c r="G407" s="17">
        <f t="shared" si="20"/>
        <v>3870.3</v>
      </c>
      <c r="H407" s="18"/>
    </row>
    <row r="408" spans="1:8" ht="47.25" customHeight="1" hidden="1">
      <c r="A408" s="35" t="s">
        <v>763</v>
      </c>
      <c r="B408" s="15" t="s">
        <v>1651</v>
      </c>
      <c r="C408" s="15" t="s">
        <v>1624</v>
      </c>
      <c r="D408" s="15" t="s">
        <v>15</v>
      </c>
      <c r="E408" s="39" t="s">
        <v>571</v>
      </c>
      <c r="F408" s="18">
        <v>0</v>
      </c>
      <c r="G408" s="17">
        <f t="shared" si="20"/>
        <v>0</v>
      </c>
      <c r="H408" s="18"/>
    </row>
    <row r="409" spans="1:8" ht="61.5" customHeight="1">
      <c r="A409" s="35" t="s">
        <v>1437</v>
      </c>
      <c r="B409" s="15" t="s">
        <v>1651</v>
      </c>
      <c r="C409" s="15" t="s">
        <v>1624</v>
      </c>
      <c r="D409" s="15" t="s">
        <v>15</v>
      </c>
      <c r="E409" s="39" t="s">
        <v>571</v>
      </c>
      <c r="F409" s="18">
        <v>6000</v>
      </c>
      <c r="G409" s="17">
        <f t="shared" si="20"/>
        <v>6000</v>
      </c>
      <c r="H409" s="18"/>
    </row>
    <row r="410" spans="1:8" ht="45" customHeight="1" hidden="1">
      <c r="A410" s="35" t="s">
        <v>764</v>
      </c>
      <c r="B410" s="15" t="s">
        <v>1651</v>
      </c>
      <c r="C410" s="15" t="s">
        <v>1624</v>
      </c>
      <c r="D410" s="15" t="s">
        <v>15</v>
      </c>
      <c r="E410" s="39" t="s">
        <v>738</v>
      </c>
      <c r="F410" s="18">
        <v>0</v>
      </c>
      <c r="G410" s="17">
        <f t="shared" si="20"/>
        <v>0</v>
      </c>
      <c r="H410" s="18"/>
    </row>
    <row r="411" spans="1:8" ht="15">
      <c r="A411" s="30" t="s">
        <v>723</v>
      </c>
      <c r="B411" s="15" t="s">
        <v>1651</v>
      </c>
      <c r="C411" s="15" t="s">
        <v>1624</v>
      </c>
      <c r="D411" s="15" t="s">
        <v>1963</v>
      </c>
      <c r="E411" s="39"/>
      <c r="F411" s="17">
        <f>F412</f>
        <v>685.8</v>
      </c>
      <c r="G411" s="17">
        <f>G412</f>
        <v>685.8</v>
      </c>
      <c r="H411" s="17">
        <f>H412</f>
        <v>0</v>
      </c>
    </row>
    <row r="412" spans="1:8" ht="24">
      <c r="A412" s="16" t="s">
        <v>2002</v>
      </c>
      <c r="B412" s="15" t="s">
        <v>1651</v>
      </c>
      <c r="C412" s="15" t="s">
        <v>1624</v>
      </c>
      <c r="D412" s="15" t="s">
        <v>1055</v>
      </c>
      <c r="E412" s="15" t="s">
        <v>575</v>
      </c>
      <c r="F412" s="17">
        <f>F413+F414+F419</f>
        <v>685.8</v>
      </c>
      <c r="G412" s="17">
        <f aca="true" t="shared" si="21" ref="G412:G481">F412-H412</f>
        <v>685.8</v>
      </c>
      <c r="H412" s="17">
        <f>H413+H414+H419</f>
        <v>0</v>
      </c>
    </row>
    <row r="413" spans="1:8" ht="24.75" hidden="1">
      <c r="A413" s="27" t="s">
        <v>1083</v>
      </c>
      <c r="B413" s="15" t="s">
        <v>1651</v>
      </c>
      <c r="C413" s="15" t="s">
        <v>1624</v>
      </c>
      <c r="D413" s="15" t="s">
        <v>1055</v>
      </c>
      <c r="E413" s="15" t="s">
        <v>738</v>
      </c>
      <c r="F413" s="18"/>
      <c r="G413" s="17">
        <f t="shared" si="21"/>
        <v>0</v>
      </c>
      <c r="H413" s="18"/>
    </row>
    <row r="414" spans="1:8" ht="24">
      <c r="A414" s="16" t="s">
        <v>270</v>
      </c>
      <c r="B414" s="15" t="s">
        <v>1651</v>
      </c>
      <c r="C414" s="15" t="s">
        <v>1624</v>
      </c>
      <c r="D414" s="15" t="s">
        <v>1055</v>
      </c>
      <c r="E414" s="15" t="s">
        <v>271</v>
      </c>
      <c r="F414" s="17">
        <f>F415+F416</f>
        <v>448.9</v>
      </c>
      <c r="G414" s="17">
        <f t="shared" si="21"/>
        <v>448.9</v>
      </c>
      <c r="H414" s="17">
        <f>H415</f>
        <v>0</v>
      </c>
    </row>
    <row r="415" spans="1:8" ht="24.75" hidden="1">
      <c r="A415" s="16" t="s">
        <v>269</v>
      </c>
      <c r="B415" s="15" t="s">
        <v>1651</v>
      </c>
      <c r="C415" s="15" t="s">
        <v>1624</v>
      </c>
      <c r="D415" s="15" t="s">
        <v>1055</v>
      </c>
      <c r="E415" s="15" t="s">
        <v>570</v>
      </c>
      <c r="F415" s="18">
        <f>29150-401-28749</f>
        <v>0</v>
      </c>
      <c r="G415" s="17">
        <f t="shared" si="21"/>
        <v>0</v>
      </c>
      <c r="H415" s="18"/>
    </row>
    <row r="416" spans="1:8" ht="24">
      <c r="A416" s="16" t="s">
        <v>1025</v>
      </c>
      <c r="B416" s="15" t="s">
        <v>1651</v>
      </c>
      <c r="C416" s="15" t="s">
        <v>1624</v>
      </c>
      <c r="D416" s="15" t="s">
        <v>1055</v>
      </c>
      <c r="E416" s="15" t="s">
        <v>180</v>
      </c>
      <c r="F416" s="17">
        <f>F417+F418</f>
        <v>448.9</v>
      </c>
      <c r="G416" s="17">
        <f t="shared" si="21"/>
        <v>448.9</v>
      </c>
      <c r="H416" s="18"/>
    </row>
    <row r="417" spans="1:8" ht="48" hidden="1">
      <c r="A417" s="16" t="s">
        <v>1026</v>
      </c>
      <c r="B417" s="15" t="s">
        <v>1651</v>
      </c>
      <c r="C417" s="15" t="s">
        <v>1624</v>
      </c>
      <c r="D417" s="15" t="s">
        <v>1055</v>
      </c>
      <c r="E417" s="15" t="s">
        <v>180</v>
      </c>
      <c r="F417" s="18"/>
      <c r="G417" s="17">
        <f t="shared" si="21"/>
        <v>0</v>
      </c>
      <c r="H417" s="18"/>
    </row>
    <row r="418" spans="1:8" ht="48">
      <c r="A418" s="16" t="s">
        <v>309</v>
      </c>
      <c r="B418" s="15" t="s">
        <v>1651</v>
      </c>
      <c r="C418" s="15" t="s">
        <v>1624</v>
      </c>
      <c r="D418" s="15" t="s">
        <v>1055</v>
      </c>
      <c r="E418" s="15" t="s">
        <v>180</v>
      </c>
      <c r="F418" s="18">
        <v>448.9</v>
      </c>
      <c r="G418" s="17">
        <f t="shared" si="21"/>
        <v>448.9</v>
      </c>
      <c r="H418" s="18"/>
    </row>
    <row r="419" spans="1:8" ht="24">
      <c r="A419" s="16" t="s">
        <v>1432</v>
      </c>
      <c r="B419" s="15" t="s">
        <v>1651</v>
      </c>
      <c r="C419" s="15" t="s">
        <v>1624</v>
      </c>
      <c r="D419" s="15" t="s">
        <v>1055</v>
      </c>
      <c r="E419" s="15" t="s">
        <v>1433</v>
      </c>
      <c r="F419" s="17">
        <f>F420+F421</f>
        <v>236.9</v>
      </c>
      <c r="G419" s="17">
        <f t="shared" si="21"/>
        <v>236.9</v>
      </c>
      <c r="H419" s="17">
        <f>H420</f>
        <v>0</v>
      </c>
    </row>
    <row r="420" spans="1:8" ht="24.75" hidden="1">
      <c r="A420" s="16" t="s">
        <v>395</v>
      </c>
      <c r="B420" s="15" t="s">
        <v>1651</v>
      </c>
      <c r="C420" s="15" t="s">
        <v>1624</v>
      </c>
      <c r="D420" s="15" t="s">
        <v>1055</v>
      </c>
      <c r="E420" s="15" t="s">
        <v>1434</v>
      </c>
      <c r="F420" s="18">
        <f>501131-11638-489493</f>
        <v>0</v>
      </c>
      <c r="G420" s="17">
        <f t="shared" si="21"/>
        <v>0</v>
      </c>
      <c r="H420" s="18"/>
    </row>
    <row r="421" spans="1:8" ht="24">
      <c r="A421" s="16" t="s">
        <v>1027</v>
      </c>
      <c r="B421" s="15" t="s">
        <v>1651</v>
      </c>
      <c r="C421" s="15" t="s">
        <v>1624</v>
      </c>
      <c r="D421" s="15" t="s">
        <v>1055</v>
      </c>
      <c r="E421" s="15" t="s">
        <v>1196</v>
      </c>
      <c r="F421" s="17">
        <f>F422</f>
        <v>236.9</v>
      </c>
      <c r="G421" s="17">
        <f t="shared" si="21"/>
        <v>236.9</v>
      </c>
      <c r="H421" s="18"/>
    </row>
    <row r="422" spans="1:8" ht="48">
      <c r="A422" s="35" t="s">
        <v>883</v>
      </c>
      <c r="B422" s="15" t="s">
        <v>1651</v>
      </c>
      <c r="C422" s="15" t="s">
        <v>1624</v>
      </c>
      <c r="D422" s="15" t="s">
        <v>1055</v>
      </c>
      <c r="E422" s="15" t="s">
        <v>1196</v>
      </c>
      <c r="F422" s="18">
        <v>236.9</v>
      </c>
      <c r="G422" s="17">
        <f t="shared" si="21"/>
        <v>236.9</v>
      </c>
      <c r="H422" s="18"/>
    </row>
    <row r="423" spans="1:8" ht="36" hidden="1">
      <c r="A423" s="35" t="s">
        <v>1970</v>
      </c>
      <c r="B423" s="15" t="s">
        <v>1651</v>
      </c>
      <c r="C423" s="15" t="s">
        <v>1624</v>
      </c>
      <c r="D423" s="15" t="s">
        <v>1055</v>
      </c>
      <c r="E423" s="15" t="s">
        <v>1196</v>
      </c>
      <c r="F423" s="18"/>
      <c r="G423" s="17">
        <f t="shared" si="21"/>
        <v>0</v>
      </c>
      <c r="H423" s="18"/>
    </row>
    <row r="424" spans="1:8" ht="15">
      <c r="A424" s="31" t="s">
        <v>32</v>
      </c>
      <c r="B424" s="15" t="s">
        <v>1651</v>
      </c>
      <c r="C424" s="15" t="s">
        <v>1624</v>
      </c>
      <c r="D424" s="15" t="s">
        <v>33</v>
      </c>
      <c r="E424" s="15"/>
      <c r="F424" s="17">
        <f>F425+F431+F429</f>
        <v>7806</v>
      </c>
      <c r="G424" s="17">
        <f t="shared" si="21"/>
        <v>7806</v>
      </c>
      <c r="H424" s="17">
        <f>H431</f>
        <v>0</v>
      </c>
    </row>
    <row r="425" spans="1:8" ht="48">
      <c r="A425" s="35" t="s">
        <v>310</v>
      </c>
      <c r="B425" s="15" t="s">
        <v>1651</v>
      </c>
      <c r="C425" s="15" t="s">
        <v>1624</v>
      </c>
      <c r="D425" s="15" t="s">
        <v>789</v>
      </c>
      <c r="E425" s="15"/>
      <c r="F425" s="17">
        <f>F426</f>
        <v>240.3</v>
      </c>
      <c r="G425" s="17">
        <f t="shared" si="21"/>
        <v>240.3</v>
      </c>
      <c r="H425" s="17"/>
    </row>
    <row r="426" spans="1:8" ht="72">
      <c r="A426" s="35" t="s">
        <v>790</v>
      </c>
      <c r="B426" s="15" t="s">
        <v>1651</v>
      </c>
      <c r="C426" s="15" t="s">
        <v>1624</v>
      </c>
      <c r="D426" s="15" t="s">
        <v>791</v>
      </c>
      <c r="E426" s="15" t="s">
        <v>575</v>
      </c>
      <c r="F426" s="17">
        <f>F427</f>
        <v>240.3</v>
      </c>
      <c r="G426" s="17">
        <f t="shared" si="21"/>
        <v>240.3</v>
      </c>
      <c r="H426" s="17"/>
    </row>
    <row r="427" spans="1:8" ht="24">
      <c r="A427" s="16" t="s">
        <v>270</v>
      </c>
      <c r="B427" s="15" t="s">
        <v>1651</v>
      </c>
      <c r="C427" s="15" t="s">
        <v>1624</v>
      </c>
      <c r="D427" s="15" t="s">
        <v>791</v>
      </c>
      <c r="E427" s="15" t="s">
        <v>271</v>
      </c>
      <c r="F427" s="17">
        <f>F428</f>
        <v>240.3</v>
      </c>
      <c r="G427" s="17">
        <f t="shared" si="21"/>
        <v>240.3</v>
      </c>
      <c r="H427" s="17"/>
    </row>
    <row r="428" spans="1:8" ht="24">
      <c r="A428" s="16" t="s">
        <v>269</v>
      </c>
      <c r="B428" s="15" t="s">
        <v>1651</v>
      </c>
      <c r="C428" s="15" t="s">
        <v>1624</v>
      </c>
      <c r="D428" s="15" t="s">
        <v>791</v>
      </c>
      <c r="E428" s="15" t="s">
        <v>570</v>
      </c>
      <c r="F428" s="18">
        <v>240.3</v>
      </c>
      <c r="G428" s="17">
        <f t="shared" si="21"/>
        <v>240.3</v>
      </c>
      <c r="H428" s="17"/>
    </row>
    <row r="429" spans="1:8" ht="24">
      <c r="A429" s="16" t="s">
        <v>396</v>
      </c>
      <c r="B429" s="15" t="s">
        <v>1651</v>
      </c>
      <c r="C429" s="15" t="s">
        <v>1624</v>
      </c>
      <c r="D429" s="15" t="s">
        <v>791</v>
      </c>
      <c r="E429" s="15" t="s">
        <v>1433</v>
      </c>
      <c r="F429" s="17">
        <f>F430</f>
        <v>7565.7</v>
      </c>
      <c r="G429" s="17">
        <f t="shared" si="21"/>
        <v>7565.7</v>
      </c>
      <c r="H429" s="17"/>
    </row>
    <row r="430" spans="1:8" ht="24">
      <c r="A430" s="16" t="s">
        <v>395</v>
      </c>
      <c r="B430" s="15" t="s">
        <v>1651</v>
      </c>
      <c r="C430" s="15" t="s">
        <v>1624</v>
      </c>
      <c r="D430" s="15" t="s">
        <v>791</v>
      </c>
      <c r="E430" s="15" t="s">
        <v>1434</v>
      </c>
      <c r="F430" s="18">
        <v>7565.7</v>
      </c>
      <c r="G430" s="17">
        <f t="shared" si="21"/>
        <v>7565.7</v>
      </c>
      <c r="H430" s="17"/>
    </row>
    <row r="431" spans="1:8" ht="50.25" customHeight="1" hidden="1">
      <c r="A431" s="16" t="s">
        <v>422</v>
      </c>
      <c r="B431" s="15" t="s">
        <v>1651</v>
      </c>
      <c r="C431" s="15" t="s">
        <v>1624</v>
      </c>
      <c r="D431" s="15" t="s">
        <v>1971</v>
      </c>
      <c r="E431" s="15" t="s">
        <v>575</v>
      </c>
      <c r="F431" s="17">
        <f>F432</f>
        <v>0</v>
      </c>
      <c r="G431" s="17">
        <f t="shared" si="21"/>
        <v>0</v>
      </c>
      <c r="H431" s="17"/>
    </row>
    <row r="432" spans="1:8" ht="24.75" hidden="1">
      <c r="A432" s="16" t="s">
        <v>29</v>
      </c>
      <c r="B432" s="15" t="s">
        <v>1651</v>
      </c>
      <c r="C432" s="15" t="s">
        <v>1624</v>
      </c>
      <c r="D432" s="15" t="s">
        <v>28</v>
      </c>
      <c r="E432" s="15" t="s">
        <v>575</v>
      </c>
      <c r="F432" s="17">
        <f>F433</f>
        <v>0</v>
      </c>
      <c r="G432" s="17">
        <f t="shared" si="21"/>
        <v>0</v>
      </c>
      <c r="H432" s="17"/>
    </row>
    <row r="433" spans="1:8" ht="60" hidden="1">
      <c r="A433" s="16" t="s">
        <v>1972</v>
      </c>
      <c r="B433" s="15" t="s">
        <v>1651</v>
      </c>
      <c r="C433" s="15" t="s">
        <v>1624</v>
      </c>
      <c r="D433" s="15" t="s">
        <v>28</v>
      </c>
      <c r="E433" s="15" t="s">
        <v>738</v>
      </c>
      <c r="F433" s="18"/>
      <c r="G433" s="17">
        <f t="shared" si="21"/>
        <v>0</v>
      </c>
      <c r="H433" s="18"/>
    </row>
    <row r="434" spans="1:8" ht="36">
      <c r="A434" s="16" t="s">
        <v>814</v>
      </c>
      <c r="B434" s="15" t="s">
        <v>1651</v>
      </c>
      <c r="C434" s="15" t="s">
        <v>1624</v>
      </c>
      <c r="D434" s="15" t="s">
        <v>815</v>
      </c>
      <c r="E434" s="15"/>
      <c r="F434" s="17">
        <f>F435+F437</f>
        <v>1000</v>
      </c>
      <c r="G434" s="17">
        <f t="shared" si="21"/>
        <v>1000</v>
      </c>
      <c r="H434" s="18"/>
    </row>
    <row r="435" spans="1:8" ht="24.75" hidden="1">
      <c r="A435" s="16" t="s">
        <v>1029</v>
      </c>
      <c r="B435" s="15" t="s">
        <v>1651</v>
      </c>
      <c r="C435" s="15" t="s">
        <v>1624</v>
      </c>
      <c r="D435" s="15" t="s">
        <v>816</v>
      </c>
      <c r="E435" s="15" t="s">
        <v>575</v>
      </c>
      <c r="F435" s="17">
        <f>F436</f>
        <v>0</v>
      </c>
      <c r="G435" s="17">
        <f t="shared" si="21"/>
        <v>0</v>
      </c>
      <c r="H435" s="18"/>
    </row>
    <row r="436" spans="1:8" ht="72" hidden="1">
      <c r="A436" s="16" t="s">
        <v>897</v>
      </c>
      <c r="B436" s="15" t="s">
        <v>1651</v>
      </c>
      <c r="C436" s="15" t="s">
        <v>1624</v>
      </c>
      <c r="D436" s="15" t="s">
        <v>816</v>
      </c>
      <c r="E436" s="15" t="s">
        <v>571</v>
      </c>
      <c r="F436" s="18">
        <v>0</v>
      </c>
      <c r="G436" s="17">
        <f t="shared" si="21"/>
        <v>0</v>
      </c>
      <c r="H436" s="18"/>
    </row>
    <row r="437" spans="1:8" ht="72">
      <c r="A437" s="16" t="s">
        <v>276</v>
      </c>
      <c r="B437" s="15" t="s">
        <v>1651</v>
      </c>
      <c r="C437" s="15" t="s">
        <v>1624</v>
      </c>
      <c r="D437" s="15" t="s">
        <v>275</v>
      </c>
      <c r="E437" s="15"/>
      <c r="F437" s="17">
        <f>F438</f>
        <v>1000</v>
      </c>
      <c r="G437" s="17">
        <f t="shared" si="21"/>
        <v>1000</v>
      </c>
      <c r="H437" s="18"/>
    </row>
    <row r="438" spans="1:8" ht="24">
      <c r="A438" s="16" t="s">
        <v>1432</v>
      </c>
      <c r="B438" s="15" t="s">
        <v>1651</v>
      </c>
      <c r="C438" s="15" t="s">
        <v>1624</v>
      </c>
      <c r="D438" s="15" t="s">
        <v>275</v>
      </c>
      <c r="E438" s="15" t="s">
        <v>1433</v>
      </c>
      <c r="F438" s="17">
        <f>F439</f>
        <v>1000</v>
      </c>
      <c r="G438" s="17">
        <f t="shared" si="21"/>
        <v>1000</v>
      </c>
      <c r="H438" s="18"/>
    </row>
    <row r="439" spans="1:8" ht="24">
      <c r="A439" s="16" t="s">
        <v>1027</v>
      </c>
      <c r="B439" s="15" t="s">
        <v>1651</v>
      </c>
      <c r="C439" s="15" t="s">
        <v>1624</v>
      </c>
      <c r="D439" s="15" t="s">
        <v>275</v>
      </c>
      <c r="E439" s="15" t="s">
        <v>1196</v>
      </c>
      <c r="F439" s="17">
        <f>F440</f>
        <v>1000</v>
      </c>
      <c r="G439" s="17">
        <f t="shared" si="21"/>
        <v>1000</v>
      </c>
      <c r="H439" s="18"/>
    </row>
    <row r="440" spans="1:8" ht="84">
      <c r="A440" s="35" t="s">
        <v>277</v>
      </c>
      <c r="B440" s="15" t="s">
        <v>1651</v>
      </c>
      <c r="C440" s="15" t="s">
        <v>1624</v>
      </c>
      <c r="D440" s="15" t="s">
        <v>275</v>
      </c>
      <c r="E440" s="15" t="s">
        <v>1196</v>
      </c>
      <c r="F440" s="18">
        <v>1000</v>
      </c>
      <c r="G440" s="17">
        <f t="shared" si="21"/>
        <v>1000</v>
      </c>
      <c r="H440" s="18"/>
    </row>
    <row r="441" spans="1:8" ht="24">
      <c r="A441" s="31" t="s">
        <v>1664</v>
      </c>
      <c r="B441" s="15" t="s">
        <v>1651</v>
      </c>
      <c r="C441" s="15" t="s">
        <v>1624</v>
      </c>
      <c r="D441" s="15" t="s">
        <v>1663</v>
      </c>
      <c r="E441" s="15"/>
      <c r="F441" s="17">
        <f>F442+F467+F472</f>
        <v>949551.3</v>
      </c>
      <c r="G441" s="17">
        <f t="shared" si="21"/>
        <v>949551.3</v>
      </c>
      <c r="H441" s="18"/>
    </row>
    <row r="442" spans="1:8" ht="36">
      <c r="A442" s="16" t="s">
        <v>892</v>
      </c>
      <c r="B442" s="52" t="s">
        <v>1651</v>
      </c>
      <c r="C442" s="52" t="s">
        <v>1624</v>
      </c>
      <c r="D442" s="52" t="s">
        <v>1982</v>
      </c>
      <c r="E442" s="52" t="s">
        <v>575</v>
      </c>
      <c r="F442" s="17">
        <f>F443+F446+F449+F458</f>
        <v>933534.3</v>
      </c>
      <c r="G442" s="17">
        <f aca="true" t="shared" si="22" ref="G442:G448">F442-H442</f>
        <v>933534.3</v>
      </c>
      <c r="H442" s="18"/>
    </row>
    <row r="443" spans="1:8" ht="36">
      <c r="A443" s="35" t="s">
        <v>355</v>
      </c>
      <c r="B443" s="52" t="s">
        <v>1651</v>
      </c>
      <c r="C443" s="52" t="s">
        <v>1624</v>
      </c>
      <c r="D443" s="52" t="s">
        <v>1982</v>
      </c>
      <c r="E443" s="52" t="s">
        <v>356</v>
      </c>
      <c r="F443" s="17">
        <f>F444+F445</f>
        <v>151005</v>
      </c>
      <c r="G443" s="17">
        <f t="shared" si="22"/>
        <v>151005</v>
      </c>
      <c r="H443" s="18"/>
    </row>
    <row r="444" spans="1:8" ht="60">
      <c r="A444" s="27" t="s">
        <v>558</v>
      </c>
      <c r="B444" s="52" t="s">
        <v>1651</v>
      </c>
      <c r="C444" s="52" t="s">
        <v>1624</v>
      </c>
      <c r="D444" s="52" t="s">
        <v>1982</v>
      </c>
      <c r="E444" s="52" t="s">
        <v>356</v>
      </c>
      <c r="F444" s="18">
        <v>3012.6</v>
      </c>
      <c r="G444" s="17">
        <f t="shared" si="22"/>
        <v>3012.6</v>
      </c>
      <c r="H444" s="18"/>
    </row>
    <row r="445" spans="1:8" ht="60">
      <c r="A445" s="16" t="s">
        <v>1972</v>
      </c>
      <c r="B445" s="52" t="s">
        <v>1651</v>
      </c>
      <c r="C445" s="52" t="s">
        <v>1624</v>
      </c>
      <c r="D445" s="52" t="s">
        <v>1982</v>
      </c>
      <c r="E445" s="52" t="s">
        <v>356</v>
      </c>
      <c r="F445" s="18">
        <v>147992.4</v>
      </c>
      <c r="G445" s="17">
        <f t="shared" si="22"/>
        <v>147992.4</v>
      </c>
      <c r="H445" s="18"/>
    </row>
    <row r="446" spans="1:8" ht="36" hidden="1">
      <c r="A446" s="35" t="s">
        <v>354</v>
      </c>
      <c r="B446" s="52" t="s">
        <v>1651</v>
      </c>
      <c r="C446" s="52" t="s">
        <v>1624</v>
      </c>
      <c r="D446" s="52" t="s">
        <v>1982</v>
      </c>
      <c r="E446" s="52" t="s">
        <v>571</v>
      </c>
      <c r="F446" s="17">
        <f>F447+F448</f>
        <v>0</v>
      </c>
      <c r="G446" s="17">
        <f t="shared" si="22"/>
        <v>0</v>
      </c>
      <c r="H446" s="18"/>
    </row>
    <row r="447" spans="1:8" ht="36" hidden="1">
      <c r="A447" s="35" t="s">
        <v>763</v>
      </c>
      <c r="B447" s="52" t="s">
        <v>1651</v>
      </c>
      <c r="C447" s="52" t="s">
        <v>1624</v>
      </c>
      <c r="D447" s="52" t="s">
        <v>1982</v>
      </c>
      <c r="E447" s="52" t="s">
        <v>571</v>
      </c>
      <c r="F447" s="18">
        <v>0</v>
      </c>
      <c r="G447" s="17">
        <f t="shared" si="22"/>
        <v>0</v>
      </c>
      <c r="H447" s="18"/>
    </row>
    <row r="448" spans="1:8" ht="36" hidden="1">
      <c r="A448" s="35" t="s">
        <v>764</v>
      </c>
      <c r="B448" s="52" t="s">
        <v>1651</v>
      </c>
      <c r="C448" s="52" t="s">
        <v>1624</v>
      </c>
      <c r="D448" s="52" t="s">
        <v>1982</v>
      </c>
      <c r="E448" s="52" t="s">
        <v>571</v>
      </c>
      <c r="F448" s="18">
        <v>0</v>
      </c>
      <c r="G448" s="17">
        <f t="shared" si="22"/>
        <v>0</v>
      </c>
      <c r="H448" s="18"/>
    </row>
    <row r="449" spans="1:8" ht="24">
      <c r="A449" s="16" t="s">
        <v>270</v>
      </c>
      <c r="B449" s="52" t="s">
        <v>1651</v>
      </c>
      <c r="C449" s="52" t="s">
        <v>1624</v>
      </c>
      <c r="D449" s="52" t="s">
        <v>1982</v>
      </c>
      <c r="E449" s="52" t="s">
        <v>271</v>
      </c>
      <c r="F449" s="17">
        <f>F450+F451</f>
        <v>74494.70000000001</v>
      </c>
      <c r="G449" s="17">
        <f aca="true" t="shared" si="23" ref="G449:G466">F449-H449</f>
        <v>74494.70000000001</v>
      </c>
      <c r="H449" s="18"/>
    </row>
    <row r="450" spans="1:8" ht="24">
      <c r="A450" s="16" t="s">
        <v>269</v>
      </c>
      <c r="B450" s="52" t="s">
        <v>1651</v>
      </c>
      <c r="C450" s="52" t="s">
        <v>1624</v>
      </c>
      <c r="D450" s="52" t="s">
        <v>1982</v>
      </c>
      <c r="E450" s="52" t="s">
        <v>570</v>
      </c>
      <c r="F450" s="18">
        <f>3937+30-139+9118+500+28749+1000+240.3+8882.1+22+83</f>
        <v>52422.4</v>
      </c>
      <c r="G450" s="17">
        <f t="shared" si="23"/>
        <v>52422.4</v>
      </c>
      <c r="H450" s="18"/>
    </row>
    <row r="451" spans="1:8" ht="24">
      <c r="A451" s="16" t="s">
        <v>850</v>
      </c>
      <c r="B451" s="52" t="s">
        <v>1651</v>
      </c>
      <c r="C451" s="52" t="s">
        <v>1624</v>
      </c>
      <c r="D451" s="52" t="s">
        <v>1982</v>
      </c>
      <c r="E451" s="52" t="s">
        <v>180</v>
      </c>
      <c r="F451" s="17">
        <f>F452+F453+F454+F455+F456+F457</f>
        <v>22072.300000000003</v>
      </c>
      <c r="G451" s="17">
        <f t="shared" si="23"/>
        <v>22072.300000000003</v>
      </c>
      <c r="H451" s="18"/>
    </row>
    <row r="452" spans="1:8" ht="24">
      <c r="A452" s="35" t="s">
        <v>863</v>
      </c>
      <c r="B452" s="52" t="s">
        <v>1651</v>
      </c>
      <c r="C452" s="52" t="s">
        <v>1624</v>
      </c>
      <c r="D452" s="52" t="s">
        <v>1982</v>
      </c>
      <c r="E452" s="52" t="s">
        <v>180</v>
      </c>
      <c r="F452" s="18">
        <f>755+1400+350-1400-355.8</f>
        <v>749.2</v>
      </c>
      <c r="G452" s="17">
        <f t="shared" si="23"/>
        <v>749.2</v>
      </c>
      <c r="H452" s="18"/>
    </row>
    <row r="453" spans="1:8" ht="24">
      <c r="A453" s="35" t="s">
        <v>1998</v>
      </c>
      <c r="B453" s="52" t="s">
        <v>1651</v>
      </c>
      <c r="C453" s="52" t="s">
        <v>1624</v>
      </c>
      <c r="D453" s="52" t="s">
        <v>1982</v>
      </c>
      <c r="E453" s="52" t="s">
        <v>180</v>
      </c>
      <c r="F453" s="18">
        <f>600-100+300-111.1</f>
        <v>688.9</v>
      </c>
      <c r="G453" s="17">
        <f t="shared" si="23"/>
        <v>688.9</v>
      </c>
      <c r="H453" s="18"/>
    </row>
    <row r="454" spans="1:8" ht="36">
      <c r="A454" s="35" t="s">
        <v>242</v>
      </c>
      <c r="B454" s="52" t="s">
        <v>1651</v>
      </c>
      <c r="C454" s="52" t="s">
        <v>1624</v>
      </c>
      <c r="D454" s="52" t="s">
        <v>1982</v>
      </c>
      <c r="E454" s="52" t="s">
        <v>180</v>
      </c>
      <c r="F454" s="18">
        <f>85790+100-84077.2-900</f>
        <v>912.8000000000029</v>
      </c>
      <c r="G454" s="17">
        <f t="shared" si="23"/>
        <v>912.8000000000029</v>
      </c>
      <c r="H454" s="18"/>
    </row>
    <row r="455" spans="1:8" ht="36">
      <c r="A455" s="35" t="s">
        <v>243</v>
      </c>
      <c r="B455" s="52" t="s">
        <v>1651</v>
      </c>
      <c r="C455" s="52" t="s">
        <v>1624</v>
      </c>
      <c r="D455" s="52" t="s">
        <v>1982</v>
      </c>
      <c r="E455" s="52" t="s">
        <v>180</v>
      </c>
      <c r="F455" s="18">
        <v>1341</v>
      </c>
      <c r="G455" s="17">
        <f t="shared" si="23"/>
        <v>1341</v>
      </c>
      <c r="H455" s="18"/>
    </row>
    <row r="456" spans="1:8" ht="48">
      <c r="A456" s="35" t="s">
        <v>823</v>
      </c>
      <c r="B456" s="52" t="s">
        <v>1651</v>
      </c>
      <c r="C456" s="52" t="s">
        <v>1624</v>
      </c>
      <c r="D456" s="52" t="s">
        <v>1982</v>
      </c>
      <c r="E456" s="52" t="s">
        <v>180</v>
      </c>
      <c r="F456" s="18">
        <f>9019+17095-6619.6-3000+1200+301.7</f>
        <v>17996.100000000002</v>
      </c>
      <c r="G456" s="17">
        <f t="shared" si="23"/>
        <v>17996.100000000002</v>
      </c>
      <c r="H456" s="18"/>
    </row>
    <row r="457" spans="1:8" ht="48">
      <c r="A457" s="35" t="s">
        <v>824</v>
      </c>
      <c r="B457" s="52" t="s">
        <v>1651</v>
      </c>
      <c r="C457" s="52" t="s">
        <v>1624</v>
      </c>
      <c r="D457" s="52" t="s">
        <v>1982</v>
      </c>
      <c r="E457" s="52" t="s">
        <v>180</v>
      </c>
      <c r="F457" s="18">
        <f>1886-1501.7</f>
        <v>384.29999999999995</v>
      </c>
      <c r="G457" s="17">
        <f t="shared" si="23"/>
        <v>384.29999999999995</v>
      </c>
      <c r="H457" s="18"/>
    </row>
    <row r="458" spans="1:8" ht="15" customHeight="1">
      <c r="A458" s="16" t="s">
        <v>396</v>
      </c>
      <c r="B458" s="52" t="s">
        <v>1651</v>
      </c>
      <c r="C458" s="52" t="s">
        <v>1624</v>
      </c>
      <c r="D458" s="52" t="s">
        <v>1982</v>
      </c>
      <c r="E458" s="52" t="s">
        <v>1433</v>
      </c>
      <c r="F458" s="17">
        <f>F459+F460</f>
        <v>708034.6</v>
      </c>
      <c r="G458" s="17">
        <f t="shared" si="23"/>
        <v>708034.6</v>
      </c>
      <c r="H458" s="18"/>
    </row>
    <row r="459" spans="1:8" ht="24">
      <c r="A459" s="16" t="s">
        <v>395</v>
      </c>
      <c r="B459" s="52" t="s">
        <v>1651</v>
      </c>
      <c r="C459" s="52" t="s">
        <v>1624</v>
      </c>
      <c r="D459" s="52" t="s">
        <v>1982</v>
      </c>
      <c r="E459" s="52" t="s">
        <v>1434</v>
      </c>
      <c r="F459" s="18">
        <f>99818+617+14019-15408-9118-930+489493-2596.3-906.6-1000+7565.6-2410-8882.1-22-550+717</f>
        <v>570406.6</v>
      </c>
      <c r="G459" s="17">
        <f t="shared" si="23"/>
        <v>570406.6</v>
      </c>
      <c r="H459" s="18"/>
    </row>
    <row r="460" spans="1:8" ht="24">
      <c r="A460" s="16" t="s">
        <v>893</v>
      </c>
      <c r="B460" s="52" t="s">
        <v>1651</v>
      </c>
      <c r="C460" s="52" t="s">
        <v>1624</v>
      </c>
      <c r="D460" s="52" t="s">
        <v>1982</v>
      </c>
      <c r="E460" s="52" t="s">
        <v>1196</v>
      </c>
      <c r="F460" s="17">
        <f>F461+F462+F463+F464</f>
        <v>137628</v>
      </c>
      <c r="G460" s="17">
        <f t="shared" si="23"/>
        <v>137628</v>
      </c>
      <c r="H460" s="18"/>
    </row>
    <row r="461" spans="1:8" ht="24">
      <c r="A461" s="35" t="s">
        <v>761</v>
      </c>
      <c r="B461" s="52" t="s">
        <v>1651</v>
      </c>
      <c r="C461" s="52" t="s">
        <v>1624</v>
      </c>
      <c r="D461" s="52" t="s">
        <v>1982</v>
      </c>
      <c r="E461" s="52" t="s">
        <v>1196</v>
      </c>
      <c r="F461" s="18">
        <f>7260+400+2500+3100+2500+2500+6300+900+8250-84+1759.7+1970+1200</f>
        <v>38555.7</v>
      </c>
      <c r="G461" s="17">
        <f t="shared" si="23"/>
        <v>38555.7</v>
      </c>
      <c r="H461" s="18"/>
    </row>
    <row r="462" spans="1:8" ht="36">
      <c r="A462" s="35" t="s">
        <v>611</v>
      </c>
      <c r="B462" s="52" t="s">
        <v>1651</v>
      </c>
      <c r="C462" s="52" t="s">
        <v>1624</v>
      </c>
      <c r="D462" s="52" t="s">
        <v>1982</v>
      </c>
      <c r="E462" s="52" t="s">
        <v>1196</v>
      </c>
      <c r="F462" s="18">
        <f>1250+2500</f>
        <v>3750</v>
      </c>
      <c r="G462" s="17">
        <f t="shared" si="23"/>
        <v>3750</v>
      </c>
      <c r="H462" s="18"/>
    </row>
    <row r="463" spans="1:8" ht="24">
      <c r="A463" s="35" t="s">
        <v>772</v>
      </c>
      <c r="B463" s="52" t="s">
        <v>1651</v>
      </c>
      <c r="C463" s="52" t="s">
        <v>1624</v>
      </c>
      <c r="D463" s="52" t="s">
        <v>1982</v>
      </c>
      <c r="E463" s="52" t="s">
        <v>1196</v>
      </c>
      <c r="F463" s="18">
        <f>10800-300+550+111.1+84</f>
        <v>11245.1</v>
      </c>
      <c r="G463" s="17">
        <f t="shared" si="23"/>
        <v>11245.1</v>
      </c>
      <c r="H463" s="18"/>
    </row>
    <row r="464" spans="1:8" ht="36">
      <c r="A464" s="35" t="s">
        <v>311</v>
      </c>
      <c r="B464" s="52" t="s">
        <v>1651</v>
      </c>
      <c r="C464" s="52" t="s">
        <v>1624</v>
      </c>
      <c r="D464" s="52" t="s">
        <v>1982</v>
      </c>
      <c r="E464" s="52" t="s">
        <v>1196</v>
      </c>
      <c r="F464" s="17">
        <f>F465+F466</f>
        <v>84077.20000000001</v>
      </c>
      <c r="G464" s="17">
        <f t="shared" si="23"/>
        <v>84077.20000000001</v>
      </c>
      <c r="H464" s="18"/>
    </row>
    <row r="465" spans="1:8" ht="36">
      <c r="A465" s="35" t="s">
        <v>1033</v>
      </c>
      <c r="B465" s="52" t="s">
        <v>1651</v>
      </c>
      <c r="C465" s="52" t="s">
        <v>1624</v>
      </c>
      <c r="D465" s="52" t="s">
        <v>1982</v>
      </c>
      <c r="E465" s="52" t="s">
        <v>1196</v>
      </c>
      <c r="F465" s="18">
        <f>83334.2-355.4-97.5-425.2</f>
        <v>82456.1</v>
      </c>
      <c r="G465" s="17">
        <f t="shared" si="23"/>
        <v>82456.1</v>
      </c>
      <c r="H465" s="18"/>
    </row>
    <row r="466" spans="1:8" ht="36">
      <c r="A466" s="35" t="s">
        <v>192</v>
      </c>
      <c r="B466" s="52" t="s">
        <v>1651</v>
      </c>
      <c r="C466" s="52" t="s">
        <v>1624</v>
      </c>
      <c r="D466" s="52" t="s">
        <v>1982</v>
      </c>
      <c r="E466" s="52" t="s">
        <v>1196</v>
      </c>
      <c r="F466" s="18">
        <f>743+355.4+97.5+425.2</f>
        <v>1621.1000000000001</v>
      </c>
      <c r="G466" s="17">
        <f t="shared" si="23"/>
        <v>1621.1000000000001</v>
      </c>
      <c r="H466" s="18"/>
    </row>
    <row r="467" spans="1:8" ht="48">
      <c r="A467" s="16" t="s">
        <v>1661</v>
      </c>
      <c r="B467" s="52" t="s">
        <v>1651</v>
      </c>
      <c r="C467" s="52" t="s">
        <v>1624</v>
      </c>
      <c r="D467" s="52" t="s">
        <v>1028</v>
      </c>
      <c r="E467" s="52" t="s">
        <v>575</v>
      </c>
      <c r="F467" s="17">
        <f>F468+F470</f>
        <v>1528</v>
      </c>
      <c r="G467" s="17">
        <f t="shared" si="21"/>
        <v>1528</v>
      </c>
      <c r="H467" s="18"/>
    </row>
    <row r="468" spans="1:8" ht="24">
      <c r="A468" s="16" t="s">
        <v>270</v>
      </c>
      <c r="B468" s="52" t="s">
        <v>1651</v>
      </c>
      <c r="C468" s="52" t="s">
        <v>1624</v>
      </c>
      <c r="D468" s="52" t="s">
        <v>1028</v>
      </c>
      <c r="E468" s="52" t="s">
        <v>271</v>
      </c>
      <c r="F468" s="17">
        <f>F469</f>
        <v>177</v>
      </c>
      <c r="G468" s="17">
        <f t="shared" si="21"/>
        <v>177</v>
      </c>
      <c r="H468" s="18"/>
    </row>
    <row r="469" spans="1:8" ht="24">
      <c r="A469" s="16" t="s">
        <v>269</v>
      </c>
      <c r="B469" s="52" t="s">
        <v>1651</v>
      </c>
      <c r="C469" s="52" t="s">
        <v>1624</v>
      </c>
      <c r="D469" s="52" t="s">
        <v>1028</v>
      </c>
      <c r="E469" s="52" t="s">
        <v>570</v>
      </c>
      <c r="F469" s="18">
        <f>139+38</f>
        <v>177</v>
      </c>
      <c r="G469" s="17">
        <f t="shared" si="21"/>
        <v>177</v>
      </c>
      <c r="H469" s="18"/>
    </row>
    <row r="470" spans="1:8" ht="24">
      <c r="A470" s="16" t="s">
        <v>396</v>
      </c>
      <c r="B470" s="52" t="s">
        <v>1651</v>
      </c>
      <c r="C470" s="52" t="s">
        <v>1624</v>
      </c>
      <c r="D470" s="52" t="s">
        <v>1028</v>
      </c>
      <c r="E470" s="52" t="s">
        <v>1433</v>
      </c>
      <c r="F470" s="17">
        <f>F471</f>
        <v>1351</v>
      </c>
      <c r="G470" s="17">
        <f t="shared" si="21"/>
        <v>1351</v>
      </c>
      <c r="H470" s="18"/>
    </row>
    <row r="471" spans="1:8" ht="24">
      <c r="A471" s="16" t="s">
        <v>395</v>
      </c>
      <c r="B471" s="52" t="s">
        <v>1651</v>
      </c>
      <c r="C471" s="52" t="s">
        <v>1624</v>
      </c>
      <c r="D471" s="52" t="s">
        <v>1028</v>
      </c>
      <c r="E471" s="52" t="s">
        <v>1434</v>
      </c>
      <c r="F471" s="18">
        <f>1389-38</f>
        <v>1351</v>
      </c>
      <c r="G471" s="17">
        <f t="shared" si="21"/>
        <v>1351</v>
      </c>
      <c r="H471" s="18"/>
    </row>
    <row r="472" spans="1:8" ht="72">
      <c r="A472" s="16" t="s">
        <v>2001</v>
      </c>
      <c r="B472" s="52" t="s">
        <v>1651</v>
      </c>
      <c r="C472" s="52" t="s">
        <v>1624</v>
      </c>
      <c r="D472" s="52" t="s">
        <v>1084</v>
      </c>
      <c r="E472" s="52" t="s">
        <v>575</v>
      </c>
      <c r="F472" s="17">
        <f>F473+F475</f>
        <v>14489</v>
      </c>
      <c r="G472" s="17">
        <f t="shared" si="21"/>
        <v>14489</v>
      </c>
      <c r="H472" s="18"/>
    </row>
    <row r="473" spans="1:8" ht="24">
      <c r="A473" s="16" t="s">
        <v>270</v>
      </c>
      <c r="B473" s="52" t="s">
        <v>1651</v>
      </c>
      <c r="C473" s="52" t="s">
        <v>1624</v>
      </c>
      <c r="D473" s="52" t="s">
        <v>1084</v>
      </c>
      <c r="E473" s="52" t="s">
        <v>271</v>
      </c>
      <c r="F473" s="17">
        <f>F474</f>
        <v>470</v>
      </c>
      <c r="G473" s="17">
        <f t="shared" si="21"/>
        <v>470</v>
      </c>
      <c r="H473" s="18"/>
    </row>
    <row r="474" spans="1:8" ht="24">
      <c r="A474" s="16" t="s">
        <v>269</v>
      </c>
      <c r="B474" s="52" t="s">
        <v>1651</v>
      </c>
      <c r="C474" s="52" t="s">
        <v>1624</v>
      </c>
      <c r="D474" s="52" t="s">
        <v>1084</v>
      </c>
      <c r="E474" s="52" t="s">
        <v>570</v>
      </c>
      <c r="F474" s="18">
        <f>470</f>
        <v>470</v>
      </c>
      <c r="G474" s="17">
        <f t="shared" si="21"/>
        <v>470</v>
      </c>
      <c r="H474" s="18"/>
    </row>
    <row r="475" spans="1:8" ht="24">
      <c r="A475" s="16" t="s">
        <v>396</v>
      </c>
      <c r="B475" s="52" t="s">
        <v>1651</v>
      </c>
      <c r="C475" s="52" t="s">
        <v>1624</v>
      </c>
      <c r="D475" s="52" t="s">
        <v>1084</v>
      </c>
      <c r="E475" s="52" t="s">
        <v>1433</v>
      </c>
      <c r="F475" s="17">
        <f>F476</f>
        <v>14019</v>
      </c>
      <c r="G475" s="17">
        <f t="shared" si="21"/>
        <v>14019</v>
      </c>
      <c r="H475" s="18"/>
    </row>
    <row r="476" spans="1:8" ht="24">
      <c r="A476" s="16" t="s">
        <v>395</v>
      </c>
      <c r="B476" s="52" t="s">
        <v>1651</v>
      </c>
      <c r="C476" s="52" t="s">
        <v>1624</v>
      </c>
      <c r="D476" s="52" t="s">
        <v>1084</v>
      </c>
      <c r="E476" s="52" t="s">
        <v>1434</v>
      </c>
      <c r="F476" s="18">
        <v>14019</v>
      </c>
      <c r="G476" s="17">
        <f t="shared" si="21"/>
        <v>14019</v>
      </c>
      <c r="H476" s="18"/>
    </row>
    <row r="477" spans="1:8" ht="15">
      <c r="A477" s="29" t="s">
        <v>724</v>
      </c>
      <c r="B477" s="15" t="s">
        <v>1651</v>
      </c>
      <c r="C477" s="15" t="s">
        <v>923</v>
      </c>
      <c r="D477" s="15"/>
      <c r="E477" s="15"/>
      <c r="F477" s="17">
        <f>F478+F482+F520+F509+F526+F565+F540+F533</f>
        <v>1264871.3000000003</v>
      </c>
      <c r="G477" s="17">
        <f>G478+G482+G520+G509+G526+G565+G540</f>
        <v>409947.3</v>
      </c>
      <c r="H477" s="17">
        <f>H478+H482+H520+H509+H526+H565+H540+H533</f>
        <v>854924</v>
      </c>
    </row>
    <row r="478" spans="1:8" ht="36">
      <c r="A478" s="36" t="s">
        <v>645</v>
      </c>
      <c r="B478" s="15" t="s">
        <v>1651</v>
      </c>
      <c r="C478" s="15" t="s">
        <v>923</v>
      </c>
      <c r="D478" s="15" t="s">
        <v>15</v>
      </c>
      <c r="E478" s="15"/>
      <c r="F478" s="17">
        <f>F479</f>
        <v>3000</v>
      </c>
      <c r="G478" s="17">
        <f t="shared" si="21"/>
        <v>3000</v>
      </c>
      <c r="H478" s="17">
        <f>H479</f>
        <v>0</v>
      </c>
    </row>
    <row r="479" spans="1:8" ht="36">
      <c r="A479" s="27" t="s">
        <v>1628</v>
      </c>
      <c r="B479" s="15" t="s">
        <v>1651</v>
      </c>
      <c r="C479" s="15" t="s">
        <v>923</v>
      </c>
      <c r="D479" s="15" t="s">
        <v>15</v>
      </c>
      <c r="E479" s="15" t="s">
        <v>738</v>
      </c>
      <c r="F479" s="17">
        <f>F480+F481</f>
        <v>3000</v>
      </c>
      <c r="G479" s="17">
        <f t="shared" si="21"/>
        <v>3000</v>
      </c>
      <c r="H479" s="18"/>
    </row>
    <row r="480" spans="1:8" ht="60">
      <c r="A480" s="27" t="s">
        <v>572</v>
      </c>
      <c r="B480" s="15" t="s">
        <v>1651</v>
      </c>
      <c r="C480" s="15" t="s">
        <v>923</v>
      </c>
      <c r="D480" s="15" t="s">
        <v>15</v>
      </c>
      <c r="E480" s="15" t="s">
        <v>571</v>
      </c>
      <c r="F480" s="18">
        <f>2000+1000</f>
        <v>3000</v>
      </c>
      <c r="G480" s="17">
        <f t="shared" si="21"/>
        <v>3000</v>
      </c>
      <c r="H480" s="18"/>
    </row>
    <row r="481" spans="1:8" ht="48" hidden="1">
      <c r="A481" s="35" t="s">
        <v>1629</v>
      </c>
      <c r="B481" s="15" t="s">
        <v>1651</v>
      </c>
      <c r="C481" s="15" t="s">
        <v>923</v>
      </c>
      <c r="D481" s="15" t="s">
        <v>15</v>
      </c>
      <c r="E481" s="15" t="s">
        <v>571</v>
      </c>
      <c r="F481" s="18"/>
      <c r="G481" s="17">
        <f t="shared" si="21"/>
        <v>0</v>
      </c>
      <c r="H481" s="18"/>
    </row>
    <row r="482" spans="1:8" ht="24">
      <c r="A482" s="30" t="s">
        <v>904</v>
      </c>
      <c r="B482" s="15" t="s">
        <v>1651</v>
      </c>
      <c r="C482" s="15" t="s">
        <v>923</v>
      </c>
      <c r="D482" s="15" t="s">
        <v>1964</v>
      </c>
      <c r="E482" s="15"/>
      <c r="F482" s="17">
        <f>F483+F490+F496+F499</f>
        <v>781330.6</v>
      </c>
      <c r="G482" s="17">
        <f>G483+G490+G496+G499</f>
        <v>6652.5999999999985</v>
      </c>
      <c r="H482" s="17">
        <f>H483+H490+H496+H499</f>
        <v>774678</v>
      </c>
    </row>
    <row r="483" spans="1:8" ht="180">
      <c r="A483" s="35" t="s">
        <v>827</v>
      </c>
      <c r="B483" s="15" t="s">
        <v>1651</v>
      </c>
      <c r="C483" s="15" t="s">
        <v>923</v>
      </c>
      <c r="D483" s="15" t="s">
        <v>604</v>
      </c>
      <c r="E483" s="15" t="s">
        <v>575</v>
      </c>
      <c r="F483" s="17">
        <f>F484+F487</f>
        <v>744313.6</v>
      </c>
      <c r="G483" s="17">
        <f>G484+G487</f>
        <v>5651.5999999999985</v>
      </c>
      <c r="H483" s="17">
        <f>H484+H487</f>
        <v>738662</v>
      </c>
    </row>
    <row r="484" spans="1:8" ht="24">
      <c r="A484" s="16" t="s">
        <v>270</v>
      </c>
      <c r="B484" s="15" t="s">
        <v>1651</v>
      </c>
      <c r="C484" s="15" t="s">
        <v>923</v>
      </c>
      <c r="D484" s="15" t="s">
        <v>604</v>
      </c>
      <c r="E484" s="15" t="s">
        <v>271</v>
      </c>
      <c r="F484" s="17">
        <f>F485+F486</f>
        <v>27562.6</v>
      </c>
      <c r="G484" s="17">
        <f aca="true" t="shared" si="24" ref="G484:G508">F484-H484</f>
        <v>802.5999999999985</v>
      </c>
      <c r="H484" s="17">
        <f>H485+H486</f>
        <v>26760</v>
      </c>
    </row>
    <row r="485" spans="1:8" ht="24">
      <c r="A485" s="16" t="s">
        <v>269</v>
      </c>
      <c r="B485" s="15" t="s">
        <v>1651</v>
      </c>
      <c r="C485" s="15" t="s">
        <v>923</v>
      </c>
      <c r="D485" s="15" t="s">
        <v>604</v>
      </c>
      <c r="E485" s="15" t="s">
        <v>570</v>
      </c>
      <c r="F485" s="18">
        <f>17906+6269+802.6+2250-17.3</f>
        <v>27210.3</v>
      </c>
      <c r="G485" s="17">
        <f t="shared" si="24"/>
        <v>802.5999999999985</v>
      </c>
      <c r="H485" s="18">
        <f>17906+6269+2250-17.3</f>
        <v>26407.7</v>
      </c>
    </row>
    <row r="486" spans="1:8" ht="24">
      <c r="A486" s="16" t="s">
        <v>605</v>
      </c>
      <c r="B486" s="15" t="s">
        <v>1651</v>
      </c>
      <c r="C486" s="15" t="s">
        <v>923</v>
      </c>
      <c r="D486" s="15" t="s">
        <v>604</v>
      </c>
      <c r="E486" s="15" t="s">
        <v>180</v>
      </c>
      <c r="F486" s="18">
        <f>335+17.3</f>
        <v>352.3</v>
      </c>
      <c r="G486" s="17">
        <f t="shared" si="24"/>
        <v>0</v>
      </c>
      <c r="H486" s="18">
        <f>335+17.3</f>
        <v>352.3</v>
      </c>
    </row>
    <row r="487" spans="1:8" ht="24">
      <c r="A487" s="16" t="s">
        <v>396</v>
      </c>
      <c r="B487" s="15" t="s">
        <v>1651</v>
      </c>
      <c r="C487" s="15" t="s">
        <v>923</v>
      </c>
      <c r="D487" s="15" t="s">
        <v>604</v>
      </c>
      <c r="E487" s="15" t="s">
        <v>1433</v>
      </c>
      <c r="F487" s="17">
        <f>F488+F489</f>
        <v>716751</v>
      </c>
      <c r="G487" s="17">
        <f t="shared" si="24"/>
        <v>4849</v>
      </c>
      <c r="H487" s="17">
        <f>H488+H489</f>
        <v>711902</v>
      </c>
    </row>
    <row r="488" spans="1:8" ht="24">
      <c r="A488" s="16" t="s">
        <v>395</v>
      </c>
      <c r="B488" s="15" t="s">
        <v>1651</v>
      </c>
      <c r="C488" s="15" t="s">
        <v>923</v>
      </c>
      <c r="D488" s="15" t="s">
        <v>604</v>
      </c>
      <c r="E488" s="15" t="s">
        <v>1434</v>
      </c>
      <c r="F488" s="18">
        <f>677217-25331+13.5+4835.5+39422-1083.3</f>
        <v>695073.7</v>
      </c>
      <c r="G488" s="17">
        <f t="shared" si="24"/>
        <v>4849</v>
      </c>
      <c r="H488" s="18">
        <f>677217-25331+39422-1083.3</f>
        <v>690224.7</v>
      </c>
    </row>
    <row r="489" spans="1:8" ht="24">
      <c r="A489" s="16" t="s">
        <v>1946</v>
      </c>
      <c r="B489" s="15" t="s">
        <v>1651</v>
      </c>
      <c r="C489" s="15" t="s">
        <v>923</v>
      </c>
      <c r="D489" s="15" t="s">
        <v>604</v>
      </c>
      <c r="E489" s="15" t="s">
        <v>1196</v>
      </c>
      <c r="F489" s="18">
        <f>20594+1083.3</f>
        <v>21677.3</v>
      </c>
      <c r="G489" s="17">
        <f t="shared" si="24"/>
        <v>0</v>
      </c>
      <c r="H489" s="18">
        <f>20594+1083.3</f>
        <v>21677.3</v>
      </c>
    </row>
    <row r="490" spans="1:8" ht="60">
      <c r="A490" s="35" t="s">
        <v>976</v>
      </c>
      <c r="B490" s="15" t="s">
        <v>1651</v>
      </c>
      <c r="C490" s="15" t="s">
        <v>923</v>
      </c>
      <c r="D490" s="15" t="s">
        <v>606</v>
      </c>
      <c r="E490" s="15" t="s">
        <v>575</v>
      </c>
      <c r="F490" s="17">
        <f>F491+F493+F495</f>
        <v>35332</v>
      </c>
      <c r="G490" s="17">
        <f t="shared" si="24"/>
        <v>0</v>
      </c>
      <c r="H490" s="17">
        <f>H491+H493+H495</f>
        <v>35332</v>
      </c>
    </row>
    <row r="491" spans="1:8" ht="24">
      <c r="A491" s="16" t="s">
        <v>270</v>
      </c>
      <c r="B491" s="15" t="s">
        <v>1651</v>
      </c>
      <c r="C491" s="15" t="s">
        <v>923</v>
      </c>
      <c r="D491" s="15" t="s">
        <v>606</v>
      </c>
      <c r="E491" s="15" t="s">
        <v>271</v>
      </c>
      <c r="F491" s="17">
        <f>F492</f>
        <v>281</v>
      </c>
      <c r="G491" s="17">
        <f t="shared" si="24"/>
        <v>0</v>
      </c>
      <c r="H491" s="17">
        <f>H492</f>
        <v>281</v>
      </c>
    </row>
    <row r="492" spans="1:8" ht="24">
      <c r="A492" s="16" t="s">
        <v>269</v>
      </c>
      <c r="B492" s="15" t="s">
        <v>1651</v>
      </c>
      <c r="C492" s="15" t="s">
        <v>923</v>
      </c>
      <c r="D492" s="15" t="s">
        <v>606</v>
      </c>
      <c r="E492" s="15" t="s">
        <v>570</v>
      </c>
      <c r="F492" s="18">
        <v>281</v>
      </c>
      <c r="G492" s="17">
        <f t="shared" si="24"/>
        <v>0</v>
      </c>
      <c r="H492" s="18">
        <v>281</v>
      </c>
    </row>
    <row r="493" spans="1:8" ht="24">
      <c r="A493" s="16" t="s">
        <v>396</v>
      </c>
      <c r="B493" s="15" t="s">
        <v>1651</v>
      </c>
      <c r="C493" s="15" t="s">
        <v>923</v>
      </c>
      <c r="D493" s="15" t="s">
        <v>606</v>
      </c>
      <c r="E493" s="15" t="s">
        <v>1433</v>
      </c>
      <c r="F493" s="17">
        <f>F494</f>
        <v>35051</v>
      </c>
      <c r="G493" s="17">
        <f t="shared" si="24"/>
        <v>0</v>
      </c>
      <c r="H493" s="17">
        <f>H494</f>
        <v>35051</v>
      </c>
    </row>
    <row r="494" spans="1:8" ht="24">
      <c r="A494" s="16" t="s">
        <v>395</v>
      </c>
      <c r="B494" s="15" t="s">
        <v>1651</v>
      </c>
      <c r="C494" s="15" t="s">
        <v>923</v>
      </c>
      <c r="D494" s="15" t="s">
        <v>606</v>
      </c>
      <c r="E494" s="15" t="s">
        <v>1434</v>
      </c>
      <c r="F494" s="18">
        <v>35051</v>
      </c>
      <c r="G494" s="17">
        <f t="shared" si="24"/>
        <v>0</v>
      </c>
      <c r="H494" s="18">
        <v>35051</v>
      </c>
    </row>
    <row r="495" spans="1:8" ht="24.75" hidden="1">
      <c r="A495" s="16" t="s">
        <v>1991</v>
      </c>
      <c r="B495" s="15" t="s">
        <v>1651</v>
      </c>
      <c r="C495" s="15" t="s">
        <v>923</v>
      </c>
      <c r="D495" s="15" t="s">
        <v>606</v>
      </c>
      <c r="E495" s="15" t="s">
        <v>663</v>
      </c>
      <c r="F495" s="18">
        <f>109-109</f>
        <v>0</v>
      </c>
      <c r="G495" s="17">
        <f t="shared" si="24"/>
        <v>0</v>
      </c>
      <c r="H495" s="18">
        <v>0</v>
      </c>
    </row>
    <row r="496" spans="1:8" ht="64.5" customHeight="1">
      <c r="A496" s="35" t="s">
        <v>107</v>
      </c>
      <c r="B496" s="15" t="s">
        <v>1651</v>
      </c>
      <c r="C496" s="15" t="s">
        <v>923</v>
      </c>
      <c r="D496" s="15" t="s">
        <v>677</v>
      </c>
      <c r="E496" s="15"/>
      <c r="F496" s="17">
        <f>F497</f>
        <v>684</v>
      </c>
      <c r="G496" s="17">
        <f t="shared" si="24"/>
        <v>0</v>
      </c>
      <c r="H496" s="17">
        <f>H498+H500</f>
        <v>684</v>
      </c>
    </row>
    <row r="497" spans="1:8" ht="31.5" customHeight="1">
      <c r="A497" s="35" t="s">
        <v>108</v>
      </c>
      <c r="B497" s="15" t="s">
        <v>1651</v>
      </c>
      <c r="C497" s="15" t="s">
        <v>923</v>
      </c>
      <c r="D497" s="15" t="s">
        <v>677</v>
      </c>
      <c r="E497" s="15" t="s">
        <v>30</v>
      </c>
      <c r="F497" s="17">
        <f>F498</f>
        <v>684</v>
      </c>
      <c r="G497" s="17"/>
      <c r="H497" s="17">
        <f>H498</f>
        <v>684</v>
      </c>
    </row>
    <row r="498" spans="1:8" ht="36" customHeight="1">
      <c r="A498" s="16" t="s">
        <v>843</v>
      </c>
      <c r="B498" s="15" t="s">
        <v>1651</v>
      </c>
      <c r="C498" s="15" t="s">
        <v>923</v>
      </c>
      <c r="D498" s="15" t="s">
        <v>677</v>
      </c>
      <c r="E498" s="15" t="s">
        <v>844</v>
      </c>
      <c r="F498" s="18">
        <v>684</v>
      </c>
      <c r="G498" s="17">
        <f t="shared" si="24"/>
        <v>0</v>
      </c>
      <c r="H498" s="18">
        <v>684</v>
      </c>
    </row>
    <row r="499" spans="1:8" ht="24">
      <c r="A499" s="16" t="s">
        <v>2002</v>
      </c>
      <c r="B499" s="15" t="s">
        <v>1651</v>
      </c>
      <c r="C499" s="15" t="s">
        <v>923</v>
      </c>
      <c r="D499" s="15" t="s">
        <v>1056</v>
      </c>
      <c r="E499" s="15" t="s">
        <v>575</v>
      </c>
      <c r="F499" s="17">
        <f>F500+F501+F503</f>
        <v>1001</v>
      </c>
      <c r="G499" s="17">
        <f t="shared" si="24"/>
        <v>1001</v>
      </c>
      <c r="H499" s="17">
        <f>H500+H501+H503</f>
        <v>0</v>
      </c>
    </row>
    <row r="500" spans="1:8" ht="24.75" hidden="1">
      <c r="A500" s="16" t="s">
        <v>955</v>
      </c>
      <c r="B500" s="15" t="s">
        <v>1651</v>
      </c>
      <c r="C500" s="15" t="s">
        <v>923</v>
      </c>
      <c r="D500" s="15" t="s">
        <v>1056</v>
      </c>
      <c r="E500" s="15" t="s">
        <v>956</v>
      </c>
      <c r="F500" s="18"/>
      <c r="G500" s="17">
        <f t="shared" si="24"/>
        <v>0</v>
      </c>
      <c r="H500" s="77"/>
    </row>
    <row r="501" spans="1:8" ht="24.75" hidden="1">
      <c r="A501" s="16" t="s">
        <v>270</v>
      </c>
      <c r="B501" s="15" t="s">
        <v>1651</v>
      </c>
      <c r="C501" s="15" t="s">
        <v>923</v>
      </c>
      <c r="D501" s="15" t="s">
        <v>1056</v>
      </c>
      <c r="E501" s="15" t="s">
        <v>271</v>
      </c>
      <c r="F501" s="17">
        <f>F502</f>
        <v>0</v>
      </c>
      <c r="G501" s="17">
        <f t="shared" si="24"/>
        <v>0</v>
      </c>
      <c r="H501" s="17">
        <f>H502</f>
        <v>0</v>
      </c>
    </row>
    <row r="502" spans="1:8" ht="24.75" hidden="1">
      <c r="A502" s="16" t="s">
        <v>269</v>
      </c>
      <c r="B502" s="15" t="s">
        <v>1651</v>
      </c>
      <c r="C502" s="15" t="s">
        <v>923</v>
      </c>
      <c r="D502" s="15" t="s">
        <v>1056</v>
      </c>
      <c r="E502" s="15" t="s">
        <v>570</v>
      </c>
      <c r="F502" s="18">
        <v>0</v>
      </c>
      <c r="G502" s="17">
        <f t="shared" si="24"/>
        <v>0</v>
      </c>
      <c r="H502" s="77">
        <v>0</v>
      </c>
    </row>
    <row r="503" spans="1:8" ht="24">
      <c r="A503" s="16" t="s">
        <v>396</v>
      </c>
      <c r="B503" s="15" t="s">
        <v>1651</v>
      </c>
      <c r="C503" s="15" t="s">
        <v>923</v>
      </c>
      <c r="D503" s="15" t="s">
        <v>1056</v>
      </c>
      <c r="E503" s="15" t="s">
        <v>1433</v>
      </c>
      <c r="F503" s="17">
        <f>F504+F505</f>
        <v>1001</v>
      </c>
      <c r="G503" s="17">
        <f t="shared" si="24"/>
        <v>1001</v>
      </c>
      <c r="H503" s="17">
        <f>H504+H505</f>
        <v>0</v>
      </c>
    </row>
    <row r="504" spans="1:8" ht="24">
      <c r="A504" s="16" t="s">
        <v>395</v>
      </c>
      <c r="B504" s="15" t="s">
        <v>1651</v>
      </c>
      <c r="C504" s="15" t="s">
        <v>923</v>
      </c>
      <c r="D504" s="15" t="s">
        <v>1056</v>
      </c>
      <c r="E504" s="15" t="s">
        <v>1434</v>
      </c>
      <c r="F504" s="18">
        <f>1001</f>
        <v>1001</v>
      </c>
      <c r="G504" s="17">
        <f t="shared" si="24"/>
        <v>1001</v>
      </c>
      <c r="H504" s="77">
        <v>0</v>
      </c>
    </row>
    <row r="505" spans="1:8" ht="24.75" hidden="1">
      <c r="A505" s="16" t="s">
        <v>1027</v>
      </c>
      <c r="B505" s="15" t="s">
        <v>1651</v>
      </c>
      <c r="C505" s="15" t="s">
        <v>923</v>
      </c>
      <c r="D505" s="15" t="s">
        <v>1056</v>
      </c>
      <c r="E505" s="15" t="s">
        <v>1196</v>
      </c>
      <c r="F505" s="18"/>
      <c r="G505" s="17">
        <f t="shared" si="24"/>
        <v>0</v>
      </c>
      <c r="H505" s="77"/>
    </row>
    <row r="506" spans="1:8" ht="72" hidden="1">
      <c r="A506" s="16" t="s">
        <v>767</v>
      </c>
      <c r="B506" s="15" t="s">
        <v>1651</v>
      </c>
      <c r="C506" s="15" t="s">
        <v>923</v>
      </c>
      <c r="D506" s="15" t="s">
        <v>1056</v>
      </c>
      <c r="E506" s="15" t="s">
        <v>1196</v>
      </c>
      <c r="F506" s="18"/>
      <c r="G506" s="17">
        <f t="shared" si="24"/>
        <v>0</v>
      </c>
      <c r="H506" s="77"/>
    </row>
    <row r="507" spans="1:8" ht="48" hidden="1">
      <c r="A507" s="16" t="s">
        <v>768</v>
      </c>
      <c r="B507" s="15" t="s">
        <v>1651</v>
      </c>
      <c r="C507" s="15" t="s">
        <v>923</v>
      </c>
      <c r="D507" s="15" t="s">
        <v>1056</v>
      </c>
      <c r="E507" s="15" t="s">
        <v>1196</v>
      </c>
      <c r="F507" s="18"/>
      <c r="G507" s="17">
        <f t="shared" si="24"/>
        <v>0</v>
      </c>
      <c r="H507" s="77"/>
    </row>
    <row r="508" spans="1:8" ht="24.75" hidden="1">
      <c r="A508" s="16" t="s">
        <v>1998</v>
      </c>
      <c r="B508" s="15" t="s">
        <v>1651</v>
      </c>
      <c r="C508" s="15" t="s">
        <v>923</v>
      </c>
      <c r="D508" s="15" t="s">
        <v>1056</v>
      </c>
      <c r="E508" s="15" t="s">
        <v>1196</v>
      </c>
      <c r="F508" s="18"/>
      <c r="G508" s="17">
        <f t="shared" si="24"/>
        <v>0</v>
      </c>
      <c r="H508" s="77"/>
    </row>
    <row r="509" spans="1:8" ht="15">
      <c r="A509" s="30" t="s">
        <v>228</v>
      </c>
      <c r="B509" s="15" t="s">
        <v>1651</v>
      </c>
      <c r="C509" s="15" t="s">
        <v>923</v>
      </c>
      <c r="D509" s="15" t="s">
        <v>2016</v>
      </c>
      <c r="E509" s="15"/>
      <c r="F509" s="17">
        <f>F510+F514</f>
        <v>55754.8</v>
      </c>
      <c r="G509" s="17">
        <f>G510+G514</f>
        <v>2910.8000000000015</v>
      </c>
      <c r="H509" s="17">
        <f>H517+H510+H514</f>
        <v>52844</v>
      </c>
    </row>
    <row r="510" spans="1:8" ht="180">
      <c r="A510" s="35" t="s">
        <v>827</v>
      </c>
      <c r="B510" s="15" t="s">
        <v>1651</v>
      </c>
      <c r="C510" s="15" t="s">
        <v>923</v>
      </c>
      <c r="D510" s="15" t="s">
        <v>678</v>
      </c>
      <c r="E510" s="15" t="s">
        <v>575</v>
      </c>
      <c r="F510" s="17">
        <f>F511</f>
        <v>53359.9</v>
      </c>
      <c r="G510" s="17">
        <f aca="true" t="shared" si="25" ref="G510:G519">F510-H510</f>
        <v>2876.9000000000015</v>
      </c>
      <c r="H510" s="17">
        <f>H511</f>
        <v>50483</v>
      </c>
    </row>
    <row r="511" spans="1:8" ht="24">
      <c r="A511" s="16" t="s">
        <v>270</v>
      </c>
      <c r="B511" s="15" t="s">
        <v>1651</v>
      </c>
      <c r="C511" s="15" t="s">
        <v>923</v>
      </c>
      <c r="D511" s="15" t="s">
        <v>678</v>
      </c>
      <c r="E511" s="15" t="s">
        <v>271</v>
      </c>
      <c r="F511" s="17">
        <f>F512+F513</f>
        <v>53359.9</v>
      </c>
      <c r="G511" s="17">
        <f t="shared" si="25"/>
        <v>2876.9000000000015</v>
      </c>
      <c r="H511" s="17">
        <f>H512+H513</f>
        <v>50483</v>
      </c>
    </row>
    <row r="512" spans="1:8" ht="24">
      <c r="A512" s="16" t="s">
        <v>269</v>
      </c>
      <c r="B512" s="15" t="s">
        <v>1651</v>
      </c>
      <c r="C512" s="15" t="s">
        <v>923</v>
      </c>
      <c r="D512" s="15" t="s">
        <v>678</v>
      </c>
      <c r="E512" s="15" t="s">
        <v>570</v>
      </c>
      <c r="F512" s="18">
        <f>28976+19062+2876.9+2240-10.9</f>
        <v>53144</v>
      </c>
      <c r="G512" s="17">
        <f t="shared" si="25"/>
        <v>2876.9000000000015</v>
      </c>
      <c r="H512" s="18">
        <f>28976+19062+2240-10.9</f>
        <v>50267.1</v>
      </c>
    </row>
    <row r="513" spans="1:8" ht="24">
      <c r="A513" s="16" t="s">
        <v>605</v>
      </c>
      <c r="B513" s="15" t="s">
        <v>1651</v>
      </c>
      <c r="C513" s="15" t="s">
        <v>923</v>
      </c>
      <c r="D513" s="15" t="s">
        <v>678</v>
      </c>
      <c r="E513" s="15" t="s">
        <v>180</v>
      </c>
      <c r="F513" s="18">
        <f>205+10.9</f>
        <v>215.9</v>
      </c>
      <c r="G513" s="17">
        <f t="shared" si="25"/>
        <v>0</v>
      </c>
      <c r="H513" s="18">
        <f>205+10.9</f>
        <v>215.9</v>
      </c>
    </row>
    <row r="514" spans="1:8" ht="72">
      <c r="A514" s="16" t="s">
        <v>849</v>
      </c>
      <c r="B514" s="15" t="s">
        <v>1651</v>
      </c>
      <c r="C514" s="15" t="s">
        <v>923</v>
      </c>
      <c r="D514" s="15" t="s">
        <v>679</v>
      </c>
      <c r="E514" s="15" t="s">
        <v>575</v>
      </c>
      <c r="F514" s="17">
        <f>F515</f>
        <v>2394.9</v>
      </c>
      <c r="G514" s="17">
        <f t="shared" si="25"/>
        <v>33.90000000000009</v>
      </c>
      <c r="H514" s="17">
        <f>H515</f>
        <v>2361</v>
      </c>
    </row>
    <row r="515" spans="1:8" ht="24">
      <c r="A515" s="16" t="s">
        <v>270</v>
      </c>
      <c r="B515" s="15" t="s">
        <v>1651</v>
      </c>
      <c r="C515" s="15" t="s">
        <v>923</v>
      </c>
      <c r="D515" s="15" t="s">
        <v>679</v>
      </c>
      <c r="E515" s="15" t="s">
        <v>271</v>
      </c>
      <c r="F515" s="17">
        <f>F516</f>
        <v>2394.9</v>
      </c>
      <c r="G515" s="17">
        <f t="shared" si="25"/>
        <v>33.90000000000009</v>
      </c>
      <c r="H515" s="17">
        <f>H516</f>
        <v>2361</v>
      </c>
    </row>
    <row r="516" spans="1:8" ht="24">
      <c r="A516" s="16" t="s">
        <v>269</v>
      </c>
      <c r="B516" s="15" t="s">
        <v>1651</v>
      </c>
      <c r="C516" s="15" t="s">
        <v>923</v>
      </c>
      <c r="D516" s="15" t="s">
        <v>679</v>
      </c>
      <c r="E516" s="15" t="s">
        <v>570</v>
      </c>
      <c r="F516" s="18">
        <f>2361+33.9</f>
        <v>2394.9</v>
      </c>
      <c r="G516" s="17">
        <f t="shared" si="25"/>
        <v>33.90000000000009</v>
      </c>
      <c r="H516" s="18">
        <v>2361</v>
      </c>
    </row>
    <row r="517" spans="1:8" ht="24.75" hidden="1">
      <c r="A517" s="16" t="s">
        <v>2002</v>
      </c>
      <c r="B517" s="15" t="s">
        <v>1651</v>
      </c>
      <c r="C517" s="15" t="s">
        <v>923</v>
      </c>
      <c r="D517" s="15" t="s">
        <v>2017</v>
      </c>
      <c r="E517" s="15" t="s">
        <v>575</v>
      </c>
      <c r="F517" s="17">
        <f>F518</f>
        <v>0</v>
      </c>
      <c r="G517" s="17">
        <f t="shared" si="25"/>
        <v>0</v>
      </c>
      <c r="H517" s="17">
        <f>H518</f>
        <v>0</v>
      </c>
    </row>
    <row r="518" spans="1:8" ht="24.75" hidden="1">
      <c r="A518" s="16" t="s">
        <v>270</v>
      </c>
      <c r="B518" s="15" t="s">
        <v>1651</v>
      </c>
      <c r="C518" s="15" t="s">
        <v>923</v>
      </c>
      <c r="D518" s="15" t="s">
        <v>2017</v>
      </c>
      <c r="E518" s="15" t="s">
        <v>271</v>
      </c>
      <c r="F518" s="17">
        <f>F519</f>
        <v>0</v>
      </c>
      <c r="G518" s="17">
        <f t="shared" si="25"/>
        <v>0</v>
      </c>
      <c r="H518" s="17">
        <f>H519</f>
        <v>0</v>
      </c>
    </row>
    <row r="519" spans="1:8" ht="24.75" hidden="1">
      <c r="A519" s="16" t="s">
        <v>269</v>
      </c>
      <c r="B519" s="15" t="s">
        <v>1651</v>
      </c>
      <c r="C519" s="15" t="s">
        <v>923</v>
      </c>
      <c r="D519" s="15" t="s">
        <v>2017</v>
      </c>
      <c r="E519" s="15" t="s">
        <v>570</v>
      </c>
      <c r="F519" s="18">
        <v>0</v>
      </c>
      <c r="G519" s="17">
        <f t="shared" si="25"/>
        <v>0</v>
      </c>
      <c r="H519" s="18">
        <v>0</v>
      </c>
    </row>
    <row r="520" spans="1:8" ht="24" hidden="1">
      <c r="A520" s="30" t="s">
        <v>905</v>
      </c>
      <c r="B520" s="15" t="s">
        <v>1651</v>
      </c>
      <c r="C520" s="15" t="s">
        <v>923</v>
      </c>
      <c r="D520" s="15" t="s">
        <v>1943</v>
      </c>
      <c r="E520" s="15"/>
      <c r="F520" s="17">
        <f>F521</f>
        <v>0</v>
      </c>
      <c r="G520" s="17">
        <f>G521</f>
        <v>0</v>
      </c>
      <c r="H520" s="17">
        <f>H521</f>
        <v>0</v>
      </c>
    </row>
    <row r="521" spans="1:8" ht="24.75" hidden="1">
      <c r="A521" s="16" t="s">
        <v>2002</v>
      </c>
      <c r="B521" s="15" t="s">
        <v>1651</v>
      </c>
      <c r="C521" s="15" t="s">
        <v>923</v>
      </c>
      <c r="D521" s="15" t="s">
        <v>957</v>
      </c>
      <c r="E521" s="15" t="s">
        <v>575</v>
      </c>
      <c r="F521" s="17">
        <f>F522+F524</f>
        <v>0</v>
      </c>
      <c r="G521" s="17">
        <f aca="true" t="shared" si="26" ref="G521:G539">F521-H521</f>
        <v>0</v>
      </c>
      <c r="H521" s="17">
        <f>H522+H524</f>
        <v>0</v>
      </c>
    </row>
    <row r="522" spans="1:8" ht="24.75" hidden="1">
      <c r="A522" s="16" t="s">
        <v>270</v>
      </c>
      <c r="B522" s="15" t="s">
        <v>1651</v>
      </c>
      <c r="C522" s="15" t="s">
        <v>923</v>
      </c>
      <c r="D522" s="15" t="s">
        <v>957</v>
      </c>
      <c r="E522" s="15" t="s">
        <v>271</v>
      </c>
      <c r="F522" s="17">
        <f>F523</f>
        <v>0</v>
      </c>
      <c r="G522" s="17">
        <f t="shared" si="26"/>
        <v>0</v>
      </c>
      <c r="H522" s="17">
        <f>H523</f>
        <v>0</v>
      </c>
    </row>
    <row r="523" spans="1:8" ht="24.75" hidden="1">
      <c r="A523" s="16" t="s">
        <v>269</v>
      </c>
      <c r="B523" s="15" t="s">
        <v>1651</v>
      </c>
      <c r="C523" s="15" t="s">
        <v>923</v>
      </c>
      <c r="D523" s="15" t="s">
        <v>957</v>
      </c>
      <c r="E523" s="15" t="s">
        <v>570</v>
      </c>
      <c r="F523" s="18">
        <f>48099-48099</f>
        <v>0</v>
      </c>
      <c r="G523" s="17">
        <f t="shared" si="26"/>
        <v>0</v>
      </c>
      <c r="H523" s="18"/>
    </row>
    <row r="524" spans="1:8" ht="24.75" hidden="1">
      <c r="A524" s="16" t="s">
        <v>396</v>
      </c>
      <c r="B524" s="15" t="s">
        <v>1651</v>
      </c>
      <c r="C524" s="15" t="s">
        <v>923</v>
      </c>
      <c r="D524" s="15" t="s">
        <v>957</v>
      </c>
      <c r="E524" s="15" t="s">
        <v>1433</v>
      </c>
      <c r="F524" s="17">
        <f>F525</f>
        <v>0</v>
      </c>
      <c r="G524" s="17">
        <f t="shared" si="26"/>
        <v>0</v>
      </c>
      <c r="H524" s="18"/>
    </row>
    <row r="525" spans="1:8" ht="24.75" hidden="1">
      <c r="A525" s="16" t="s">
        <v>395</v>
      </c>
      <c r="B525" s="15" t="s">
        <v>1651</v>
      </c>
      <c r="C525" s="15" t="s">
        <v>923</v>
      </c>
      <c r="D525" s="15" t="s">
        <v>957</v>
      </c>
      <c r="E525" s="15" t="s">
        <v>1434</v>
      </c>
      <c r="F525" s="18">
        <f>9151-9151</f>
        <v>0</v>
      </c>
      <c r="G525" s="17">
        <f t="shared" si="26"/>
        <v>0</v>
      </c>
      <c r="H525" s="18"/>
    </row>
    <row r="526" spans="1:8" ht="19.5" customHeight="1">
      <c r="A526" s="30" t="s">
        <v>906</v>
      </c>
      <c r="B526" s="15" t="s">
        <v>1651</v>
      </c>
      <c r="C526" s="15" t="s">
        <v>923</v>
      </c>
      <c r="D526" s="15" t="s">
        <v>1944</v>
      </c>
      <c r="E526" s="15"/>
      <c r="F526" s="17">
        <f>F527+F530</f>
        <v>3584.3</v>
      </c>
      <c r="G526" s="17">
        <f>G527+G530</f>
        <v>75.30000000000018</v>
      </c>
      <c r="H526" s="17">
        <f>H527+H530</f>
        <v>3509</v>
      </c>
    </row>
    <row r="527" spans="1:8" ht="59.25" customHeight="1">
      <c r="A527" s="35" t="s">
        <v>1897</v>
      </c>
      <c r="B527" s="15" t="s">
        <v>1651</v>
      </c>
      <c r="C527" s="15" t="s">
        <v>923</v>
      </c>
      <c r="D527" s="15" t="s">
        <v>680</v>
      </c>
      <c r="E527" s="15" t="s">
        <v>575</v>
      </c>
      <c r="F527" s="17">
        <f>F528</f>
        <v>3584.3</v>
      </c>
      <c r="G527" s="17">
        <f t="shared" si="26"/>
        <v>75.30000000000018</v>
      </c>
      <c r="H527" s="17">
        <f>H528</f>
        <v>3509</v>
      </c>
    </row>
    <row r="528" spans="1:8" ht="19.5" customHeight="1">
      <c r="A528" s="16" t="s">
        <v>270</v>
      </c>
      <c r="B528" s="15" t="s">
        <v>1651</v>
      </c>
      <c r="C528" s="15" t="s">
        <v>923</v>
      </c>
      <c r="D528" s="15" t="s">
        <v>680</v>
      </c>
      <c r="E528" s="15" t="s">
        <v>271</v>
      </c>
      <c r="F528" s="17">
        <f>F529</f>
        <v>3584.3</v>
      </c>
      <c r="G528" s="17">
        <f t="shared" si="26"/>
        <v>75.30000000000018</v>
      </c>
      <c r="H528" s="17">
        <f>H529</f>
        <v>3509</v>
      </c>
    </row>
    <row r="529" spans="1:8" ht="26.25" customHeight="1">
      <c r="A529" s="16" t="s">
        <v>269</v>
      </c>
      <c r="B529" s="15" t="s">
        <v>1651</v>
      </c>
      <c r="C529" s="15" t="s">
        <v>923</v>
      </c>
      <c r="D529" s="15" t="s">
        <v>680</v>
      </c>
      <c r="E529" s="15" t="s">
        <v>570</v>
      </c>
      <c r="F529" s="18">
        <f>3509+75.3</f>
        <v>3584.3</v>
      </c>
      <c r="G529" s="17">
        <f t="shared" si="26"/>
        <v>75.30000000000018</v>
      </c>
      <c r="H529" s="18">
        <v>3509</v>
      </c>
    </row>
    <row r="530" spans="1:8" ht="24.75" hidden="1">
      <c r="A530" s="16" t="s">
        <v>2002</v>
      </c>
      <c r="B530" s="15" t="s">
        <v>1651</v>
      </c>
      <c r="C530" s="15" t="s">
        <v>923</v>
      </c>
      <c r="D530" s="15" t="s">
        <v>958</v>
      </c>
      <c r="E530" s="15" t="s">
        <v>575</v>
      </c>
      <c r="F530" s="17">
        <f>F531</f>
        <v>0</v>
      </c>
      <c r="G530" s="17">
        <f t="shared" si="26"/>
        <v>0</v>
      </c>
      <c r="H530" s="17">
        <f>H531</f>
        <v>0</v>
      </c>
    </row>
    <row r="531" spans="1:8" ht="24.75" hidden="1">
      <c r="A531" s="16" t="s">
        <v>270</v>
      </c>
      <c r="B531" s="15" t="s">
        <v>1651</v>
      </c>
      <c r="C531" s="15" t="s">
        <v>923</v>
      </c>
      <c r="D531" s="15" t="s">
        <v>958</v>
      </c>
      <c r="E531" s="15" t="s">
        <v>271</v>
      </c>
      <c r="F531" s="17">
        <f>F532</f>
        <v>0</v>
      </c>
      <c r="G531" s="17">
        <f t="shared" si="26"/>
        <v>0</v>
      </c>
      <c r="H531" s="17">
        <f>H532</f>
        <v>0</v>
      </c>
    </row>
    <row r="532" spans="1:8" ht="24.75" hidden="1">
      <c r="A532" s="16" t="s">
        <v>269</v>
      </c>
      <c r="B532" s="15" t="s">
        <v>1651</v>
      </c>
      <c r="C532" s="15" t="s">
        <v>923</v>
      </c>
      <c r="D532" s="15" t="s">
        <v>958</v>
      </c>
      <c r="E532" s="15" t="s">
        <v>570</v>
      </c>
      <c r="F532" s="18">
        <f>21147-21147</f>
        <v>0</v>
      </c>
      <c r="G532" s="17">
        <f t="shared" si="26"/>
        <v>0</v>
      </c>
      <c r="H532" s="18">
        <v>0</v>
      </c>
    </row>
    <row r="533" spans="1:8" ht="24">
      <c r="A533" s="16" t="s">
        <v>279</v>
      </c>
      <c r="B533" s="15" t="s">
        <v>1651</v>
      </c>
      <c r="C533" s="15" t="s">
        <v>923</v>
      </c>
      <c r="D533" s="15" t="s">
        <v>278</v>
      </c>
      <c r="E533" s="15"/>
      <c r="F533" s="17">
        <f>F534+F537</f>
        <v>15169</v>
      </c>
      <c r="G533" s="17">
        <f t="shared" si="26"/>
        <v>0</v>
      </c>
      <c r="H533" s="17">
        <f>H534+H537</f>
        <v>15169</v>
      </c>
    </row>
    <row r="534" spans="1:8" ht="24">
      <c r="A534" s="16" t="s">
        <v>270</v>
      </c>
      <c r="B534" s="15" t="s">
        <v>1651</v>
      </c>
      <c r="C534" s="15" t="s">
        <v>923</v>
      </c>
      <c r="D534" s="15" t="s">
        <v>278</v>
      </c>
      <c r="E534" s="15" t="s">
        <v>271</v>
      </c>
      <c r="F534" s="17">
        <f>F535</f>
        <v>3679</v>
      </c>
      <c r="G534" s="17">
        <f t="shared" si="26"/>
        <v>0</v>
      </c>
      <c r="H534" s="17">
        <f>H535</f>
        <v>3679</v>
      </c>
    </row>
    <row r="535" spans="1:8" ht="24">
      <c r="A535" s="16" t="s">
        <v>269</v>
      </c>
      <c r="B535" s="15" t="s">
        <v>1651</v>
      </c>
      <c r="C535" s="15" t="s">
        <v>923</v>
      </c>
      <c r="D535" s="15" t="s">
        <v>278</v>
      </c>
      <c r="E535" s="15" t="s">
        <v>180</v>
      </c>
      <c r="F535" s="17">
        <f>F536</f>
        <v>3679</v>
      </c>
      <c r="G535" s="17">
        <f t="shared" si="26"/>
        <v>0</v>
      </c>
      <c r="H535" s="17">
        <f>H536</f>
        <v>3679</v>
      </c>
    </row>
    <row r="536" spans="1:8" ht="24">
      <c r="A536" s="16" t="s">
        <v>605</v>
      </c>
      <c r="B536" s="15" t="s">
        <v>1651</v>
      </c>
      <c r="C536" s="15" t="s">
        <v>923</v>
      </c>
      <c r="D536" s="15" t="s">
        <v>278</v>
      </c>
      <c r="E536" s="15" t="s">
        <v>180</v>
      </c>
      <c r="F536" s="18">
        <v>3679</v>
      </c>
      <c r="G536" s="17">
        <f t="shared" si="26"/>
        <v>0</v>
      </c>
      <c r="H536" s="18">
        <v>3679</v>
      </c>
    </row>
    <row r="537" spans="1:8" ht="24">
      <c r="A537" s="16" t="s">
        <v>396</v>
      </c>
      <c r="B537" s="15" t="s">
        <v>1651</v>
      </c>
      <c r="C537" s="15" t="s">
        <v>923</v>
      </c>
      <c r="D537" s="15" t="s">
        <v>278</v>
      </c>
      <c r="E537" s="15" t="s">
        <v>1433</v>
      </c>
      <c r="F537" s="17">
        <f>F538</f>
        <v>11490</v>
      </c>
      <c r="G537" s="17">
        <f t="shared" si="26"/>
        <v>0</v>
      </c>
      <c r="H537" s="17">
        <f>H538</f>
        <v>11490</v>
      </c>
    </row>
    <row r="538" spans="1:8" ht="24">
      <c r="A538" s="16" t="s">
        <v>280</v>
      </c>
      <c r="B538" s="15" t="s">
        <v>1651</v>
      </c>
      <c r="C538" s="15" t="s">
        <v>923</v>
      </c>
      <c r="D538" s="15" t="s">
        <v>278</v>
      </c>
      <c r="E538" s="15" t="s">
        <v>1196</v>
      </c>
      <c r="F538" s="17">
        <f>F539</f>
        <v>11490</v>
      </c>
      <c r="G538" s="17">
        <f t="shared" si="26"/>
        <v>0</v>
      </c>
      <c r="H538" s="17">
        <f>H539</f>
        <v>11490</v>
      </c>
    </row>
    <row r="539" spans="1:8" ht="24">
      <c r="A539" s="16" t="s">
        <v>1946</v>
      </c>
      <c r="B539" s="15" t="s">
        <v>1651</v>
      </c>
      <c r="C539" s="15" t="s">
        <v>923</v>
      </c>
      <c r="D539" s="15" t="s">
        <v>278</v>
      </c>
      <c r="E539" s="15" t="s">
        <v>1196</v>
      </c>
      <c r="F539" s="18">
        <v>11490</v>
      </c>
      <c r="G539" s="17">
        <f t="shared" si="26"/>
        <v>0</v>
      </c>
      <c r="H539" s="18">
        <v>11490</v>
      </c>
    </row>
    <row r="540" spans="1:8" ht="24">
      <c r="A540" s="159" t="s">
        <v>1148</v>
      </c>
      <c r="B540" s="15" t="s">
        <v>1651</v>
      </c>
      <c r="C540" s="15" t="s">
        <v>923</v>
      </c>
      <c r="D540" s="15" t="s">
        <v>1149</v>
      </c>
      <c r="E540" s="15"/>
      <c r="F540" s="17">
        <f>F541+F546+F552+F562</f>
        <v>18856.1</v>
      </c>
      <c r="G540" s="17">
        <f>G541+G546+G552+G562</f>
        <v>10132.1</v>
      </c>
      <c r="H540" s="17">
        <f>H541+H546+H552+H562</f>
        <v>8724</v>
      </c>
    </row>
    <row r="541" spans="1:8" ht="24">
      <c r="A541" s="86" t="s">
        <v>155</v>
      </c>
      <c r="B541" s="15" t="s">
        <v>1651</v>
      </c>
      <c r="C541" s="15" t="s">
        <v>923</v>
      </c>
      <c r="D541" s="15" t="s">
        <v>156</v>
      </c>
      <c r="E541" s="15"/>
      <c r="F541" s="17">
        <f>F542+F544</f>
        <v>8724</v>
      </c>
      <c r="G541" s="17">
        <f>F541-H541</f>
        <v>0</v>
      </c>
      <c r="H541" s="17">
        <f>H542+H544</f>
        <v>8724</v>
      </c>
    </row>
    <row r="542" spans="1:8" ht="24">
      <c r="A542" s="16" t="s">
        <v>270</v>
      </c>
      <c r="B542" s="15" t="s">
        <v>1651</v>
      </c>
      <c r="C542" s="15" t="s">
        <v>923</v>
      </c>
      <c r="D542" s="15" t="s">
        <v>156</v>
      </c>
      <c r="E542" s="15" t="s">
        <v>271</v>
      </c>
      <c r="F542" s="17">
        <f>F543</f>
        <v>146.8</v>
      </c>
      <c r="G542" s="17">
        <f>F542-H542</f>
        <v>0</v>
      </c>
      <c r="H542" s="17">
        <f>H543</f>
        <v>146.8</v>
      </c>
    </row>
    <row r="543" spans="1:8" ht="24">
      <c r="A543" s="16" t="s">
        <v>269</v>
      </c>
      <c r="B543" s="15" t="s">
        <v>1651</v>
      </c>
      <c r="C543" s="15" t="s">
        <v>923</v>
      </c>
      <c r="D543" s="15" t="s">
        <v>156</v>
      </c>
      <c r="E543" s="15" t="s">
        <v>570</v>
      </c>
      <c r="F543" s="18">
        <f>34+112.8</f>
        <v>146.8</v>
      </c>
      <c r="G543" s="17">
        <f aca="true" t="shared" si="27" ref="G543:G552">F543-H543</f>
        <v>0</v>
      </c>
      <c r="H543" s="18">
        <f>34+112.8</f>
        <v>146.8</v>
      </c>
    </row>
    <row r="544" spans="1:8" ht="24">
      <c r="A544" s="16" t="s">
        <v>396</v>
      </c>
      <c r="B544" s="15" t="s">
        <v>1651</v>
      </c>
      <c r="C544" s="15" t="s">
        <v>923</v>
      </c>
      <c r="D544" s="15" t="s">
        <v>156</v>
      </c>
      <c r="E544" s="15" t="s">
        <v>1433</v>
      </c>
      <c r="F544" s="17">
        <f>F545</f>
        <v>8577.2</v>
      </c>
      <c r="G544" s="17">
        <f t="shared" si="27"/>
        <v>0</v>
      </c>
      <c r="H544" s="17">
        <f>H545</f>
        <v>8577.2</v>
      </c>
    </row>
    <row r="545" spans="1:8" ht="24">
      <c r="A545" s="16" t="s">
        <v>395</v>
      </c>
      <c r="B545" s="15" t="s">
        <v>1651</v>
      </c>
      <c r="C545" s="15" t="s">
        <v>923</v>
      </c>
      <c r="D545" s="15" t="s">
        <v>156</v>
      </c>
      <c r="E545" s="15" t="s">
        <v>1434</v>
      </c>
      <c r="F545" s="18">
        <f>2147+6430.2</f>
        <v>8577.2</v>
      </c>
      <c r="G545" s="17">
        <f t="shared" si="27"/>
        <v>0</v>
      </c>
      <c r="H545" s="17">
        <f>2147+6430.2</f>
        <v>8577.2</v>
      </c>
    </row>
    <row r="546" spans="1:8" ht="48">
      <c r="A546" s="35" t="s">
        <v>310</v>
      </c>
      <c r="B546" s="15" t="s">
        <v>1651</v>
      </c>
      <c r="C546" s="15" t="s">
        <v>923</v>
      </c>
      <c r="D546" s="15" t="s">
        <v>789</v>
      </c>
      <c r="E546" s="15"/>
      <c r="F546" s="17">
        <f>F547</f>
        <v>3841.1</v>
      </c>
      <c r="G546" s="17">
        <f t="shared" si="27"/>
        <v>3841.1</v>
      </c>
      <c r="H546" s="17"/>
    </row>
    <row r="547" spans="1:8" ht="72">
      <c r="A547" s="35" t="s">
        <v>790</v>
      </c>
      <c r="B547" s="15" t="s">
        <v>1651</v>
      </c>
      <c r="C547" s="15" t="s">
        <v>923</v>
      </c>
      <c r="D547" s="15" t="s">
        <v>791</v>
      </c>
      <c r="E547" s="15" t="s">
        <v>575</v>
      </c>
      <c r="F547" s="17">
        <f>F548+F550</f>
        <v>3841.1</v>
      </c>
      <c r="G547" s="17">
        <f t="shared" si="27"/>
        <v>3841.1</v>
      </c>
      <c r="H547" s="17"/>
    </row>
    <row r="548" spans="1:8" ht="24">
      <c r="A548" s="16" t="s">
        <v>270</v>
      </c>
      <c r="B548" s="15" t="s">
        <v>1651</v>
      </c>
      <c r="C548" s="15" t="s">
        <v>923</v>
      </c>
      <c r="D548" s="15" t="s">
        <v>791</v>
      </c>
      <c r="E548" s="15" t="s">
        <v>271</v>
      </c>
      <c r="F548" s="17">
        <f>F549</f>
        <v>3710.6</v>
      </c>
      <c r="G548" s="17">
        <f t="shared" si="27"/>
        <v>3710.6</v>
      </c>
      <c r="H548" s="17"/>
    </row>
    <row r="549" spans="1:8" ht="24">
      <c r="A549" s="16" t="s">
        <v>269</v>
      </c>
      <c r="B549" s="15" t="s">
        <v>1651</v>
      </c>
      <c r="C549" s="15" t="s">
        <v>923</v>
      </c>
      <c r="D549" s="15" t="s">
        <v>791</v>
      </c>
      <c r="E549" s="15" t="s">
        <v>570</v>
      </c>
      <c r="F549" s="18">
        <f>687.4+339.6+2683.6</f>
        <v>3710.6</v>
      </c>
      <c r="G549" s="17">
        <f t="shared" si="27"/>
        <v>3710.6</v>
      </c>
      <c r="H549" s="17"/>
    </row>
    <row r="550" spans="1:8" ht="24">
      <c r="A550" s="16" t="s">
        <v>396</v>
      </c>
      <c r="B550" s="15" t="s">
        <v>1651</v>
      </c>
      <c r="C550" s="15" t="s">
        <v>923</v>
      </c>
      <c r="D550" s="15" t="s">
        <v>791</v>
      </c>
      <c r="E550" s="15" t="s">
        <v>1433</v>
      </c>
      <c r="F550" s="17">
        <f>F551</f>
        <v>130.5</v>
      </c>
      <c r="G550" s="17">
        <f t="shared" si="27"/>
        <v>130.5</v>
      </c>
      <c r="H550" s="17"/>
    </row>
    <row r="551" spans="1:8" ht="24">
      <c r="A551" s="16" t="s">
        <v>395</v>
      </c>
      <c r="B551" s="15" t="s">
        <v>1651</v>
      </c>
      <c r="C551" s="15" t="s">
        <v>923</v>
      </c>
      <c r="D551" s="15" t="s">
        <v>791</v>
      </c>
      <c r="E551" s="15" t="s">
        <v>1434</v>
      </c>
      <c r="F551" s="18">
        <f>130.5</f>
        <v>130.5</v>
      </c>
      <c r="G551" s="17">
        <f t="shared" si="27"/>
        <v>130.5</v>
      </c>
      <c r="H551" s="17"/>
    </row>
    <row r="552" spans="1:8" ht="36">
      <c r="A552" s="16" t="s">
        <v>817</v>
      </c>
      <c r="B552" s="15" t="s">
        <v>1651</v>
      </c>
      <c r="C552" s="15" t="s">
        <v>923</v>
      </c>
      <c r="D552" s="15" t="s">
        <v>815</v>
      </c>
      <c r="E552" s="15"/>
      <c r="F552" s="17">
        <f>F558+F553</f>
        <v>6291</v>
      </c>
      <c r="G552" s="17">
        <f t="shared" si="27"/>
        <v>6291</v>
      </c>
      <c r="H552" s="17"/>
    </row>
    <row r="553" spans="1:8" ht="48">
      <c r="A553" s="16" t="s">
        <v>536</v>
      </c>
      <c r="B553" s="15" t="s">
        <v>1651</v>
      </c>
      <c r="C553" s="15" t="s">
        <v>923</v>
      </c>
      <c r="D553" s="15" t="s">
        <v>1136</v>
      </c>
      <c r="E553" s="15" t="s">
        <v>575</v>
      </c>
      <c r="F553" s="17">
        <f>F554+F556</f>
        <v>791</v>
      </c>
      <c r="G553" s="17">
        <f>G554+G556</f>
        <v>791</v>
      </c>
      <c r="H553" s="17">
        <f>H554</f>
        <v>0</v>
      </c>
    </row>
    <row r="554" spans="1:8" ht="24">
      <c r="A554" s="16" t="s">
        <v>270</v>
      </c>
      <c r="B554" s="15" t="s">
        <v>1651</v>
      </c>
      <c r="C554" s="15" t="s">
        <v>923</v>
      </c>
      <c r="D554" s="15" t="s">
        <v>1136</v>
      </c>
      <c r="E554" s="15" t="s">
        <v>271</v>
      </c>
      <c r="F554" s="17">
        <f>F555</f>
        <v>269.5</v>
      </c>
      <c r="G554" s="17">
        <f aca="true" t="shared" si="28" ref="G554:G566">F554-H554</f>
        <v>269.5</v>
      </c>
      <c r="H554" s="18"/>
    </row>
    <row r="555" spans="1:8" ht="24">
      <c r="A555" s="16" t="s">
        <v>269</v>
      </c>
      <c r="B555" s="15" t="s">
        <v>1651</v>
      </c>
      <c r="C555" s="15" t="s">
        <v>923</v>
      </c>
      <c r="D555" s="15" t="s">
        <v>1136</v>
      </c>
      <c r="E555" s="15" t="s">
        <v>570</v>
      </c>
      <c r="F555" s="18">
        <v>269.5</v>
      </c>
      <c r="G555" s="17">
        <f t="shared" si="28"/>
        <v>269.5</v>
      </c>
      <c r="H555" s="18"/>
    </row>
    <row r="556" spans="1:8" ht="24">
      <c r="A556" s="16" t="s">
        <v>396</v>
      </c>
      <c r="B556" s="15" t="s">
        <v>1651</v>
      </c>
      <c r="C556" s="15" t="s">
        <v>923</v>
      </c>
      <c r="D556" s="15" t="s">
        <v>1136</v>
      </c>
      <c r="E556" s="15" t="s">
        <v>1433</v>
      </c>
      <c r="F556" s="17">
        <f>F557</f>
        <v>521.5</v>
      </c>
      <c r="G556" s="17">
        <f t="shared" si="28"/>
        <v>521.5</v>
      </c>
      <c r="H556" s="18"/>
    </row>
    <row r="557" spans="1:8" ht="24">
      <c r="A557" s="16" t="s">
        <v>395</v>
      </c>
      <c r="B557" s="15" t="s">
        <v>1651</v>
      </c>
      <c r="C557" s="15" t="s">
        <v>923</v>
      </c>
      <c r="D557" s="15" t="s">
        <v>1136</v>
      </c>
      <c r="E557" s="15" t="s">
        <v>1434</v>
      </c>
      <c r="F557" s="18">
        <v>521.5</v>
      </c>
      <c r="G557" s="17">
        <f t="shared" si="28"/>
        <v>521.5</v>
      </c>
      <c r="H557" s="18"/>
    </row>
    <row r="558" spans="1:8" ht="108">
      <c r="A558" s="16" t="s">
        <v>312</v>
      </c>
      <c r="B558" s="15" t="s">
        <v>1651</v>
      </c>
      <c r="C558" s="15" t="s">
        <v>923</v>
      </c>
      <c r="D558" s="15" t="s">
        <v>818</v>
      </c>
      <c r="E558" s="15" t="s">
        <v>575</v>
      </c>
      <c r="F558" s="17">
        <f>F559</f>
        <v>5500</v>
      </c>
      <c r="G558" s="17">
        <f t="shared" si="28"/>
        <v>5500</v>
      </c>
      <c r="H558" s="18"/>
    </row>
    <row r="559" spans="1:8" ht="24">
      <c r="A559" s="16" t="s">
        <v>396</v>
      </c>
      <c r="B559" s="15" t="s">
        <v>1651</v>
      </c>
      <c r="C559" s="15" t="s">
        <v>923</v>
      </c>
      <c r="D559" s="15" t="s">
        <v>818</v>
      </c>
      <c r="E559" s="15" t="s">
        <v>1433</v>
      </c>
      <c r="F559" s="17">
        <f>F560</f>
        <v>5500</v>
      </c>
      <c r="G559" s="17">
        <f t="shared" si="28"/>
        <v>5500</v>
      </c>
      <c r="H559" s="18"/>
    </row>
    <row r="560" spans="1:8" ht="24">
      <c r="A560" s="16" t="s">
        <v>1027</v>
      </c>
      <c r="B560" s="15" t="s">
        <v>1651</v>
      </c>
      <c r="C560" s="15" t="s">
        <v>923</v>
      </c>
      <c r="D560" s="15" t="s">
        <v>818</v>
      </c>
      <c r="E560" s="15" t="s">
        <v>1196</v>
      </c>
      <c r="F560" s="17">
        <f>F561</f>
        <v>5500</v>
      </c>
      <c r="G560" s="17">
        <f t="shared" si="28"/>
        <v>5500</v>
      </c>
      <c r="H560" s="18"/>
    </row>
    <row r="561" spans="1:8" ht="24">
      <c r="A561" s="16" t="s">
        <v>281</v>
      </c>
      <c r="B561" s="15" t="s">
        <v>1651</v>
      </c>
      <c r="C561" s="15" t="s">
        <v>923</v>
      </c>
      <c r="D561" s="15" t="s">
        <v>818</v>
      </c>
      <c r="E561" s="15" t="s">
        <v>1196</v>
      </c>
      <c r="F561" s="18">
        <v>5500</v>
      </c>
      <c r="G561" s="17">
        <f t="shared" si="28"/>
        <v>5500</v>
      </c>
      <c r="H561" s="18"/>
    </row>
    <row r="562" spans="1:8" ht="96" hidden="1">
      <c r="A562" s="16" t="s">
        <v>694</v>
      </c>
      <c r="B562" s="15" t="s">
        <v>1651</v>
      </c>
      <c r="C562" s="15" t="s">
        <v>923</v>
      </c>
      <c r="D562" s="15" t="s">
        <v>695</v>
      </c>
      <c r="E562" s="15" t="s">
        <v>575</v>
      </c>
      <c r="F562" s="17">
        <f>F563</f>
        <v>0</v>
      </c>
      <c r="G562" s="17">
        <f t="shared" si="28"/>
        <v>0</v>
      </c>
      <c r="H562" s="18"/>
    </row>
    <row r="563" spans="1:8" ht="24.75" hidden="1">
      <c r="A563" s="16" t="s">
        <v>396</v>
      </c>
      <c r="B563" s="15" t="s">
        <v>1651</v>
      </c>
      <c r="C563" s="15" t="s">
        <v>923</v>
      </c>
      <c r="D563" s="15" t="s">
        <v>695</v>
      </c>
      <c r="E563" s="15" t="s">
        <v>1433</v>
      </c>
      <c r="F563" s="17">
        <f>F564</f>
        <v>0</v>
      </c>
      <c r="G563" s="17">
        <f t="shared" si="28"/>
        <v>0</v>
      </c>
      <c r="H563" s="18"/>
    </row>
    <row r="564" spans="1:8" ht="24.75" hidden="1">
      <c r="A564" s="16" t="s">
        <v>395</v>
      </c>
      <c r="B564" s="15" t="s">
        <v>1651</v>
      </c>
      <c r="C564" s="15" t="s">
        <v>923</v>
      </c>
      <c r="D564" s="15" t="s">
        <v>695</v>
      </c>
      <c r="E564" s="15" t="s">
        <v>1434</v>
      </c>
      <c r="F564" s="18">
        <f>5110-5110</f>
        <v>0</v>
      </c>
      <c r="G564" s="17">
        <f t="shared" si="28"/>
        <v>0</v>
      </c>
      <c r="H564" s="18"/>
    </row>
    <row r="565" spans="1:10" ht="24">
      <c r="A565" s="31" t="s">
        <v>1664</v>
      </c>
      <c r="B565" s="15" t="s">
        <v>1651</v>
      </c>
      <c r="C565" s="15" t="s">
        <v>923</v>
      </c>
      <c r="D565" s="15" t="s">
        <v>1663</v>
      </c>
      <c r="E565" s="15"/>
      <c r="F565" s="17">
        <f>F566+F580+F587+F601+F609+F625</f>
        <v>387176.5</v>
      </c>
      <c r="G565" s="17">
        <f t="shared" si="28"/>
        <v>387176.5</v>
      </c>
      <c r="H565" s="77"/>
      <c r="I565" s="9"/>
      <c r="J565" s="14"/>
    </row>
    <row r="566" spans="1:10" ht="36">
      <c r="A566" s="16" t="s">
        <v>1186</v>
      </c>
      <c r="B566" s="15" t="s">
        <v>1651</v>
      </c>
      <c r="C566" s="15" t="s">
        <v>923</v>
      </c>
      <c r="D566" s="15" t="s">
        <v>1093</v>
      </c>
      <c r="E566" s="15" t="s">
        <v>575</v>
      </c>
      <c r="F566" s="179">
        <f>F567+F572</f>
        <v>180139.1</v>
      </c>
      <c r="G566" s="17">
        <f t="shared" si="28"/>
        <v>180139.1</v>
      </c>
      <c r="H566" s="77"/>
      <c r="I566" s="9"/>
      <c r="J566" s="14"/>
    </row>
    <row r="567" spans="1:10" ht="24">
      <c r="A567" s="16" t="s">
        <v>270</v>
      </c>
      <c r="B567" s="52" t="s">
        <v>1651</v>
      </c>
      <c r="C567" s="52" t="s">
        <v>923</v>
      </c>
      <c r="D567" s="52" t="s">
        <v>1093</v>
      </c>
      <c r="E567" s="52" t="s">
        <v>271</v>
      </c>
      <c r="F567" s="17">
        <f>F568+F569</f>
        <v>4858</v>
      </c>
      <c r="G567" s="17">
        <f aca="true" t="shared" si="29" ref="G567:G608">F567-H567</f>
        <v>4858</v>
      </c>
      <c r="H567" s="77"/>
      <c r="I567" s="9"/>
      <c r="J567" s="14"/>
    </row>
    <row r="568" spans="1:10" ht="24">
      <c r="A568" s="16" t="s">
        <v>269</v>
      </c>
      <c r="B568" s="52" t="s">
        <v>1651</v>
      </c>
      <c r="C568" s="52" t="s">
        <v>923</v>
      </c>
      <c r="D568" s="52" t="s">
        <v>1093</v>
      </c>
      <c r="E568" s="52" t="s">
        <v>570</v>
      </c>
      <c r="F568" s="18">
        <f>3825+13-180</f>
        <v>3658</v>
      </c>
      <c r="G568" s="17">
        <f t="shared" si="29"/>
        <v>3658</v>
      </c>
      <c r="H568" s="77"/>
      <c r="I568" s="9"/>
      <c r="J568" s="14"/>
    </row>
    <row r="569" spans="1:10" ht="24">
      <c r="A569" s="16" t="s">
        <v>1445</v>
      </c>
      <c r="B569" s="52" t="s">
        <v>1651</v>
      </c>
      <c r="C569" s="52" t="s">
        <v>923</v>
      </c>
      <c r="D569" s="52" t="s">
        <v>1093</v>
      </c>
      <c r="E569" s="52" t="s">
        <v>180</v>
      </c>
      <c r="F569" s="17">
        <f>F570+F571</f>
        <v>1200</v>
      </c>
      <c r="G569" s="17">
        <f t="shared" si="29"/>
        <v>1200</v>
      </c>
      <c r="H569" s="77"/>
      <c r="I569" s="9"/>
      <c r="J569" s="14"/>
    </row>
    <row r="570" spans="1:10" ht="36" hidden="1">
      <c r="A570" s="16" t="s">
        <v>402</v>
      </c>
      <c r="B570" s="52" t="s">
        <v>1651</v>
      </c>
      <c r="C570" s="52" t="s">
        <v>923</v>
      </c>
      <c r="D570" s="52" t="s">
        <v>1093</v>
      </c>
      <c r="E570" s="52" t="s">
        <v>180</v>
      </c>
      <c r="F570" s="18">
        <f>755-755</f>
        <v>0</v>
      </c>
      <c r="G570" s="17">
        <f t="shared" si="29"/>
        <v>0</v>
      </c>
      <c r="H570" s="77"/>
      <c r="I570" s="9"/>
      <c r="J570" s="14"/>
    </row>
    <row r="571" spans="1:10" ht="24">
      <c r="A571" s="16" t="s">
        <v>1998</v>
      </c>
      <c r="B571" s="52" t="s">
        <v>1651</v>
      </c>
      <c r="C571" s="52" t="s">
        <v>923</v>
      </c>
      <c r="D571" s="52" t="s">
        <v>1093</v>
      </c>
      <c r="E571" s="52" t="s">
        <v>180</v>
      </c>
      <c r="F571" s="18">
        <v>1200</v>
      </c>
      <c r="G571" s="17">
        <f t="shared" si="29"/>
        <v>1200</v>
      </c>
      <c r="H571" s="77"/>
      <c r="I571" s="9"/>
      <c r="J571" s="14"/>
    </row>
    <row r="572" spans="1:10" ht="24">
      <c r="A572" s="16" t="s">
        <v>396</v>
      </c>
      <c r="B572" s="52" t="s">
        <v>1651</v>
      </c>
      <c r="C572" s="52" t="s">
        <v>923</v>
      </c>
      <c r="D572" s="52" t="s">
        <v>1093</v>
      </c>
      <c r="E572" s="52" t="s">
        <v>1433</v>
      </c>
      <c r="F572" s="17">
        <f>F573+F574</f>
        <v>175281.1</v>
      </c>
      <c r="G572" s="17">
        <f t="shared" si="29"/>
        <v>175281.1</v>
      </c>
      <c r="H572" s="77"/>
      <c r="I572" s="9"/>
      <c r="J572" s="14"/>
    </row>
    <row r="573" spans="1:10" ht="24">
      <c r="A573" s="16" t="s">
        <v>395</v>
      </c>
      <c r="B573" s="52" t="s">
        <v>1651</v>
      </c>
      <c r="C573" s="52" t="s">
        <v>923</v>
      </c>
      <c r="D573" s="52" t="s">
        <v>1093</v>
      </c>
      <c r="E573" s="52" t="s">
        <v>1434</v>
      </c>
      <c r="F573" s="18">
        <f>121312+154+3631-8881+1145+2740-390-200-104.4</f>
        <v>119406.6</v>
      </c>
      <c r="G573" s="17">
        <f t="shared" si="29"/>
        <v>119406.6</v>
      </c>
      <c r="H573" s="77"/>
      <c r="I573" s="9"/>
      <c r="J573" s="14"/>
    </row>
    <row r="574" spans="1:10" ht="24">
      <c r="A574" s="16" t="s">
        <v>1027</v>
      </c>
      <c r="B574" s="52" t="s">
        <v>1651</v>
      </c>
      <c r="C574" s="52" t="s">
        <v>923</v>
      </c>
      <c r="D574" s="52" t="s">
        <v>1093</v>
      </c>
      <c r="E574" s="52" t="s">
        <v>1196</v>
      </c>
      <c r="F574" s="17">
        <f>F575+F576+F577+F578+F579</f>
        <v>55874.5</v>
      </c>
      <c r="G574" s="17">
        <f t="shared" si="29"/>
        <v>55874.5</v>
      </c>
      <c r="H574" s="77"/>
      <c r="I574" s="9"/>
      <c r="J574" s="14"/>
    </row>
    <row r="575" spans="1:10" ht="36">
      <c r="A575" s="16" t="s">
        <v>1109</v>
      </c>
      <c r="B575" s="52" t="s">
        <v>1651</v>
      </c>
      <c r="C575" s="52" t="s">
        <v>923</v>
      </c>
      <c r="D575" s="52" t="s">
        <v>1093</v>
      </c>
      <c r="E575" s="52" t="s">
        <v>1196</v>
      </c>
      <c r="F575" s="18">
        <f>7270+1340-1400+5500+3200+3000+8700+3500+1400-1759.7+4500+4500</f>
        <v>39750.3</v>
      </c>
      <c r="G575" s="17">
        <f t="shared" si="29"/>
        <v>39750.3</v>
      </c>
      <c r="H575" s="77"/>
      <c r="I575" s="9"/>
      <c r="J575" s="14"/>
    </row>
    <row r="576" spans="1:10" ht="36">
      <c r="A576" s="16" t="s">
        <v>1930</v>
      </c>
      <c r="B576" s="52" t="s">
        <v>1651</v>
      </c>
      <c r="C576" s="52" t="s">
        <v>923</v>
      </c>
      <c r="D576" s="52" t="s">
        <v>1093</v>
      </c>
      <c r="E576" s="52" t="s">
        <v>1196</v>
      </c>
      <c r="F576" s="18">
        <f>11000+390+200+100+181.8+150-50.2</f>
        <v>11971.599999999999</v>
      </c>
      <c r="G576" s="17">
        <f t="shared" si="29"/>
        <v>11971.599999999999</v>
      </c>
      <c r="H576" s="77"/>
      <c r="I576" s="9"/>
      <c r="J576" s="14"/>
    </row>
    <row r="577" spans="1:10" ht="24">
      <c r="A577" s="16" t="s">
        <v>1998</v>
      </c>
      <c r="B577" s="52" t="s">
        <v>1651</v>
      </c>
      <c r="C577" s="52" t="s">
        <v>923</v>
      </c>
      <c r="D577" s="52" t="s">
        <v>1093</v>
      </c>
      <c r="E577" s="52" t="s">
        <v>1196</v>
      </c>
      <c r="F577" s="18">
        <v>154.6</v>
      </c>
      <c r="G577" s="17">
        <f t="shared" si="29"/>
        <v>154.6</v>
      </c>
      <c r="H577" s="77"/>
      <c r="I577" s="9"/>
      <c r="J577" s="14"/>
    </row>
    <row r="578" spans="1:10" ht="36">
      <c r="A578" s="16" t="s">
        <v>898</v>
      </c>
      <c r="B578" s="52" t="s">
        <v>1651</v>
      </c>
      <c r="C578" s="52" t="s">
        <v>923</v>
      </c>
      <c r="D578" s="52" t="s">
        <v>1093</v>
      </c>
      <c r="E578" s="52" t="s">
        <v>1196</v>
      </c>
      <c r="F578" s="18">
        <v>1318</v>
      </c>
      <c r="G578" s="17">
        <f t="shared" si="29"/>
        <v>1318</v>
      </c>
      <c r="H578" s="77"/>
      <c r="I578" s="9"/>
      <c r="J578" s="14"/>
    </row>
    <row r="579" spans="1:10" ht="48">
      <c r="A579" s="16" t="s">
        <v>612</v>
      </c>
      <c r="B579" s="52" t="s">
        <v>1651</v>
      </c>
      <c r="C579" s="52" t="s">
        <v>923</v>
      </c>
      <c r="D579" s="52" t="s">
        <v>1093</v>
      </c>
      <c r="E579" s="52" t="s">
        <v>1196</v>
      </c>
      <c r="F579" s="18">
        <v>2680</v>
      </c>
      <c r="G579" s="17">
        <f t="shared" si="29"/>
        <v>2680</v>
      </c>
      <c r="H579" s="77"/>
      <c r="I579" s="9"/>
      <c r="J579" s="14"/>
    </row>
    <row r="580" spans="1:10" ht="36">
      <c r="A580" s="16" t="s">
        <v>373</v>
      </c>
      <c r="B580" s="52" t="s">
        <v>1651</v>
      </c>
      <c r="C580" s="52" t="s">
        <v>923</v>
      </c>
      <c r="D580" s="52" t="s">
        <v>130</v>
      </c>
      <c r="E580" s="52" t="s">
        <v>575</v>
      </c>
      <c r="F580" s="17">
        <f>F581</f>
        <v>10957</v>
      </c>
      <c r="G580" s="17">
        <f t="shared" si="29"/>
        <v>10957</v>
      </c>
      <c r="H580" s="77"/>
      <c r="I580" s="9"/>
      <c r="J580" s="14"/>
    </row>
    <row r="581" spans="1:10" ht="24">
      <c r="A581" s="16" t="s">
        <v>270</v>
      </c>
      <c r="B581" s="52" t="s">
        <v>1651</v>
      </c>
      <c r="C581" s="52" t="s">
        <v>923</v>
      </c>
      <c r="D581" s="52" t="s">
        <v>130</v>
      </c>
      <c r="E581" s="52" t="s">
        <v>271</v>
      </c>
      <c r="F581" s="17">
        <f>F582+F583</f>
        <v>10957</v>
      </c>
      <c r="G581" s="17">
        <f t="shared" si="29"/>
        <v>10957</v>
      </c>
      <c r="H581" s="77"/>
      <c r="I581" s="9"/>
      <c r="J581" s="14"/>
    </row>
    <row r="582" spans="1:10" ht="24">
      <c r="A582" s="16" t="s">
        <v>269</v>
      </c>
      <c r="B582" s="52" t="s">
        <v>1651</v>
      </c>
      <c r="C582" s="52" t="s">
        <v>923</v>
      </c>
      <c r="D582" s="52" t="s">
        <v>130</v>
      </c>
      <c r="E582" s="52" t="s">
        <v>570</v>
      </c>
      <c r="F582" s="18">
        <f>11789-1132-300-800</f>
        <v>9557</v>
      </c>
      <c r="G582" s="17">
        <f t="shared" si="29"/>
        <v>9557</v>
      </c>
      <c r="H582" s="77"/>
      <c r="I582" s="9"/>
      <c r="J582" s="14"/>
    </row>
    <row r="583" spans="1:10" ht="24">
      <c r="A583" s="16" t="s">
        <v>1445</v>
      </c>
      <c r="B583" s="52" t="s">
        <v>1651</v>
      </c>
      <c r="C583" s="52" t="s">
        <v>923</v>
      </c>
      <c r="D583" s="52" t="s">
        <v>130</v>
      </c>
      <c r="E583" s="52" t="s">
        <v>180</v>
      </c>
      <c r="F583" s="17">
        <f>F584+F585+F586</f>
        <v>1400</v>
      </c>
      <c r="G583" s="17">
        <f t="shared" si="29"/>
        <v>1400</v>
      </c>
      <c r="H583" s="77"/>
      <c r="I583" s="9"/>
      <c r="J583" s="14"/>
    </row>
    <row r="584" spans="1:10" ht="36">
      <c r="A584" s="16" t="s">
        <v>402</v>
      </c>
      <c r="B584" s="52" t="s">
        <v>1651</v>
      </c>
      <c r="C584" s="52" t="s">
        <v>923</v>
      </c>
      <c r="D584" s="52" t="s">
        <v>130</v>
      </c>
      <c r="E584" s="52" t="s">
        <v>180</v>
      </c>
      <c r="F584" s="18">
        <f>585-385</f>
        <v>200</v>
      </c>
      <c r="G584" s="17">
        <f t="shared" si="29"/>
        <v>200</v>
      </c>
      <c r="H584" s="77"/>
      <c r="I584" s="9"/>
      <c r="J584" s="14"/>
    </row>
    <row r="585" spans="1:10" ht="24">
      <c r="A585" s="16" t="s">
        <v>1998</v>
      </c>
      <c r="B585" s="52" t="s">
        <v>1651</v>
      </c>
      <c r="C585" s="52" t="s">
        <v>923</v>
      </c>
      <c r="D585" s="52" t="s">
        <v>130</v>
      </c>
      <c r="E585" s="52" t="s">
        <v>180</v>
      </c>
      <c r="F585" s="18">
        <v>600</v>
      </c>
      <c r="G585" s="17">
        <f t="shared" si="29"/>
        <v>600</v>
      </c>
      <c r="H585" s="77"/>
      <c r="I585" s="9"/>
      <c r="J585" s="14"/>
    </row>
    <row r="586" spans="1:10" ht="24">
      <c r="A586" s="16" t="s">
        <v>177</v>
      </c>
      <c r="B586" s="52" t="s">
        <v>1651</v>
      </c>
      <c r="C586" s="52" t="s">
        <v>923</v>
      </c>
      <c r="D586" s="52" t="s">
        <v>130</v>
      </c>
      <c r="E586" s="52" t="s">
        <v>180</v>
      </c>
      <c r="F586" s="18">
        <v>600</v>
      </c>
      <c r="G586" s="17">
        <f t="shared" si="29"/>
        <v>600</v>
      </c>
      <c r="H586" s="77"/>
      <c r="I586" s="9"/>
      <c r="J586" s="14"/>
    </row>
    <row r="587" spans="1:10" ht="48">
      <c r="A587" s="16" t="s">
        <v>770</v>
      </c>
      <c r="B587" s="52" t="s">
        <v>1651</v>
      </c>
      <c r="C587" s="52" t="s">
        <v>923</v>
      </c>
      <c r="D587" s="52" t="s">
        <v>131</v>
      </c>
      <c r="E587" s="52" t="s">
        <v>575</v>
      </c>
      <c r="F587" s="17">
        <f>F588+F589+F596</f>
        <v>153950.8</v>
      </c>
      <c r="G587" s="17">
        <f t="shared" si="29"/>
        <v>153950.8</v>
      </c>
      <c r="H587" s="77"/>
      <c r="I587" s="9"/>
      <c r="J587" s="14"/>
    </row>
    <row r="588" spans="1:10" ht="24.75" hidden="1">
      <c r="A588" s="16" t="s">
        <v>369</v>
      </c>
      <c r="B588" s="52" t="s">
        <v>1651</v>
      </c>
      <c r="C588" s="52" t="s">
        <v>923</v>
      </c>
      <c r="D588" s="52" t="s">
        <v>131</v>
      </c>
      <c r="E588" s="52" t="s">
        <v>738</v>
      </c>
      <c r="F588" s="18"/>
      <c r="G588" s="17">
        <f t="shared" si="29"/>
        <v>0</v>
      </c>
      <c r="H588" s="77"/>
      <c r="I588" s="9"/>
      <c r="J588" s="14"/>
    </row>
    <row r="589" spans="1:10" ht="24">
      <c r="A589" s="16" t="s">
        <v>270</v>
      </c>
      <c r="B589" s="52" t="s">
        <v>1651</v>
      </c>
      <c r="C589" s="52" t="s">
        <v>923</v>
      </c>
      <c r="D589" s="52" t="s">
        <v>131</v>
      </c>
      <c r="E589" s="52" t="s">
        <v>271</v>
      </c>
      <c r="F589" s="17">
        <f>F590+F591</f>
        <v>140071</v>
      </c>
      <c r="G589" s="17">
        <f t="shared" si="29"/>
        <v>140071</v>
      </c>
      <c r="H589" s="77"/>
      <c r="I589" s="9"/>
      <c r="J589" s="14"/>
    </row>
    <row r="590" spans="1:10" ht="24">
      <c r="A590" s="16" t="s">
        <v>269</v>
      </c>
      <c r="B590" s="52" t="s">
        <v>1651</v>
      </c>
      <c r="C590" s="52" t="s">
        <v>923</v>
      </c>
      <c r="D590" s="52" t="s">
        <v>131</v>
      </c>
      <c r="E590" s="52" t="s">
        <v>570</v>
      </c>
      <c r="F590" s="18">
        <f>85883-1010+48099+687.4+2683.6</f>
        <v>136343</v>
      </c>
      <c r="G590" s="17">
        <f t="shared" si="29"/>
        <v>136343</v>
      </c>
      <c r="H590" s="77"/>
      <c r="I590" s="9"/>
      <c r="J590" s="14"/>
    </row>
    <row r="591" spans="1:10" ht="24">
      <c r="A591" s="16" t="s">
        <v>1445</v>
      </c>
      <c r="B591" s="52" t="s">
        <v>1651</v>
      </c>
      <c r="C591" s="52" t="s">
        <v>923</v>
      </c>
      <c r="D591" s="52" t="s">
        <v>131</v>
      </c>
      <c r="E591" s="52" t="s">
        <v>180</v>
      </c>
      <c r="F591" s="17">
        <f>F592+F593+F594+F595</f>
        <v>3728</v>
      </c>
      <c r="G591" s="17">
        <f t="shared" si="29"/>
        <v>3728</v>
      </c>
      <c r="H591" s="77"/>
      <c r="I591" s="9"/>
      <c r="J591" s="14"/>
    </row>
    <row r="592" spans="1:10" ht="48">
      <c r="A592" s="16" t="s">
        <v>494</v>
      </c>
      <c r="B592" s="52" t="s">
        <v>1651</v>
      </c>
      <c r="C592" s="52" t="s">
        <v>923</v>
      </c>
      <c r="D592" s="52" t="s">
        <v>131</v>
      </c>
      <c r="E592" s="52" t="s">
        <v>180</v>
      </c>
      <c r="F592" s="18">
        <f>750+404-159-467</f>
        <v>528</v>
      </c>
      <c r="G592" s="17">
        <f t="shared" si="29"/>
        <v>528</v>
      </c>
      <c r="H592" s="77"/>
      <c r="I592" s="9"/>
      <c r="J592" s="14"/>
    </row>
    <row r="593" spans="1:10" ht="24">
      <c r="A593" s="16" t="s">
        <v>1998</v>
      </c>
      <c r="B593" s="52" t="s">
        <v>1651</v>
      </c>
      <c r="C593" s="52" t="s">
        <v>923</v>
      </c>
      <c r="D593" s="52" t="s">
        <v>131</v>
      </c>
      <c r="E593" s="52" t="s">
        <v>180</v>
      </c>
      <c r="F593" s="18">
        <f>1950-750</f>
        <v>1200</v>
      </c>
      <c r="G593" s="17">
        <f t="shared" si="29"/>
        <v>1200</v>
      </c>
      <c r="H593" s="77"/>
      <c r="I593" s="9"/>
      <c r="J593" s="14"/>
    </row>
    <row r="594" spans="1:10" ht="48">
      <c r="A594" s="16" t="s">
        <v>313</v>
      </c>
      <c r="B594" s="52" t="s">
        <v>1651</v>
      </c>
      <c r="C594" s="52" t="s">
        <v>923</v>
      </c>
      <c r="D594" s="52" t="s">
        <v>131</v>
      </c>
      <c r="E594" s="52" t="s">
        <v>180</v>
      </c>
      <c r="F594" s="18">
        <f>2000-750</f>
        <v>1250</v>
      </c>
      <c r="G594" s="17">
        <f t="shared" si="29"/>
        <v>1250</v>
      </c>
      <c r="H594" s="77"/>
      <c r="I594" s="9"/>
      <c r="J594" s="14"/>
    </row>
    <row r="595" spans="1:10" ht="24">
      <c r="A595" s="16" t="s">
        <v>1503</v>
      </c>
      <c r="B595" s="52" t="s">
        <v>1651</v>
      </c>
      <c r="C595" s="52" t="s">
        <v>923</v>
      </c>
      <c r="D595" s="52" t="s">
        <v>131</v>
      </c>
      <c r="E595" s="52" t="s">
        <v>180</v>
      </c>
      <c r="F595" s="18">
        <v>750</v>
      </c>
      <c r="G595" s="17">
        <f t="shared" si="29"/>
        <v>750</v>
      </c>
      <c r="H595" s="77"/>
      <c r="I595" s="9"/>
      <c r="J595" s="14"/>
    </row>
    <row r="596" spans="1:10" ht="24">
      <c r="A596" s="16" t="s">
        <v>396</v>
      </c>
      <c r="B596" s="52" t="s">
        <v>1651</v>
      </c>
      <c r="C596" s="52" t="s">
        <v>923</v>
      </c>
      <c r="D596" s="52" t="s">
        <v>131</v>
      </c>
      <c r="E596" s="52" t="s">
        <v>1433</v>
      </c>
      <c r="F596" s="17">
        <f>F597+F598</f>
        <v>13879.8</v>
      </c>
      <c r="G596" s="17">
        <f t="shared" si="29"/>
        <v>13879.8</v>
      </c>
      <c r="H596" s="77"/>
      <c r="I596" s="9"/>
      <c r="J596" s="14"/>
    </row>
    <row r="597" spans="1:10" ht="24">
      <c r="A597" s="16" t="s">
        <v>395</v>
      </c>
      <c r="B597" s="52" t="s">
        <v>1651</v>
      </c>
      <c r="C597" s="52" t="s">
        <v>923</v>
      </c>
      <c r="D597" s="52" t="s">
        <v>131</v>
      </c>
      <c r="E597" s="52" t="s">
        <v>1434</v>
      </c>
      <c r="F597" s="18">
        <f>11006+130.5</f>
        <v>11136.5</v>
      </c>
      <c r="G597" s="17">
        <f t="shared" si="29"/>
        <v>11136.5</v>
      </c>
      <c r="H597" s="77"/>
      <c r="I597" s="9"/>
      <c r="J597" s="14"/>
    </row>
    <row r="598" spans="1:10" ht="24">
      <c r="A598" s="16" t="s">
        <v>771</v>
      </c>
      <c r="B598" s="52" t="s">
        <v>1651</v>
      </c>
      <c r="C598" s="52" t="s">
        <v>923</v>
      </c>
      <c r="D598" s="52" t="s">
        <v>131</v>
      </c>
      <c r="E598" s="52" t="s">
        <v>1196</v>
      </c>
      <c r="F598" s="17">
        <f>F599+F600</f>
        <v>2743.3</v>
      </c>
      <c r="G598" s="17">
        <f t="shared" si="29"/>
        <v>2743.3</v>
      </c>
      <c r="H598" s="77"/>
      <c r="I598" s="9"/>
      <c r="J598" s="14"/>
    </row>
    <row r="599" spans="1:10" ht="24">
      <c r="A599" s="16" t="s">
        <v>157</v>
      </c>
      <c r="B599" s="52" t="s">
        <v>1651</v>
      </c>
      <c r="C599" s="52" t="s">
        <v>923</v>
      </c>
      <c r="D599" s="52" t="s">
        <v>131</v>
      </c>
      <c r="E599" s="52" t="s">
        <v>1196</v>
      </c>
      <c r="F599" s="18">
        <f>300+1419.6+45.7-0.1</f>
        <v>1765.2</v>
      </c>
      <c r="G599" s="17">
        <f t="shared" si="29"/>
        <v>1765.2</v>
      </c>
      <c r="H599" s="77"/>
      <c r="I599" s="9"/>
      <c r="J599" s="14"/>
    </row>
    <row r="600" spans="1:10" ht="24">
      <c r="A600" s="16" t="s">
        <v>1083</v>
      </c>
      <c r="B600" s="52" t="s">
        <v>1651</v>
      </c>
      <c r="C600" s="52" t="s">
        <v>923</v>
      </c>
      <c r="D600" s="52" t="s">
        <v>131</v>
      </c>
      <c r="E600" s="52" t="s">
        <v>1196</v>
      </c>
      <c r="F600" s="18">
        <v>978.1</v>
      </c>
      <c r="G600" s="17">
        <f t="shared" si="29"/>
        <v>978.1</v>
      </c>
      <c r="H600" s="77"/>
      <c r="I600" s="9"/>
      <c r="J600" s="14"/>
    </row>
    <row r="601" spans="1:10" ht="49.5" customHeight="1">
      <c r="A601" s="16" t="s">
        <v>973</v>
      </c>
      <c r="B601" s="52" t="s">
        <v>1651</v>
      </c>
      <c r="C601" s="52" t="s">
        <v>923</v>
      </c>
      <c r="D601" s="52" t="s">
        <v>132</v>
      </c>
      <c r="E601" s="52" t="s">
        <v>575</v>
      </c>
      <c r="F601" s="17">
        <f>F602</f>
        <v>29257.6</v>
      </c>
      <c r="G601" s="17">
        <f t="shared" si="29"/>
        <v>29257.6</v>
      </c>
      <c r="H601" s="77"/>
      <c r="I601" s="9"/>
      <c r="J601" s="14"/>
    </row>
    <row r="602" spans="1:10" ht="24">
      <c r="A602" s="16" t="s">
        <v>270</v>
      </c>
      <c r="B602" s="52" t="s">
        <v>1651</v>
      </c>
      <c r="C602" s="52" t="s">
        <v>923</v>
      </c>
      <c r="D602" s="52" t="s">
        <v>132</v>
      </c>
      <c r="E602" s="52" t="s">
        <v>271</v>
      </c>
      <c r="F602" s="17">
        <f>F603+F604</f>
        <v>29257.6</v>
      </c>
      <c r="G602" s="17">
        <f t="shared" si="29"/>
        <v>29257.6</v>
      </c>
      <c r="H602" s="77"/>
      <c r="I602" s="9"/>
      <c r="J602" s="14"/>
    </row>
    <row r="603" spans="1:10" ht="24">
      <c r="A603" s="16" t="s">
        <v>269</v>
      </c>
      <c r="B603" s="52" t="s">
        <v>1651</v>
      </c>
      <c r="C603" s="52" t="s">
        <v>923</v>
      </c>
      <c r="D603" s="52" t="s">
        <v>132</v>
      </c>
      <c r="E603" s="52" t="s">
        <v>570</v>
      </c>
      <c r="F603" s="18">
        <f>7604+80-613+21147+339.6</f>
        <v>28557.6</v>
      </c>
      <c r="G603" s="17">
        <f t="shared" si="29"/>
        <v>28557.6</v>
      </c>
      <c r="H603" s="77"/>
      <c r="I603" s="9"/>
      <c r="J603" s="14"/>
    </row>
    <row r="604" spans="1:10" ht="24">
      <c r="A604" s="16" t="s">
        <v>1445</v>
      </c>
      <c r="B604" s="52" t="s">
        <v>1651</v>
      </c>
      <c r="C604" s="52" t="s">
        <v>923</v>
      </c>
      <c r="D604" s="52" t="s">
        <v>132</v>
      </c>
      <c r="E604" s="52" t="s">
        <v>180</v>
      </c>
      <c r="F604" s="17">
        <f>F605+F606</f>
        <v>700</v>
      </c>
      <c r="G604" s="17">
        <f t="shared" si="29"/>
        <v>700</v>
      </c>
      <c r="H604" s="77"/>
      <c r="I604" s="9"/>
      <c r="J604" s="14"/>
    </row>
    <row r="605" spans="1:10" ht="36">
      <c r="A605" s="16" t="s">
        <v>495</v>
      </c>
      <c r="B605" s="52" t="s">
        <v>1651</v>
      </c>
      <c r="C605" s="52" t="s">
        <v>923</v>
      </c>
      <c r="D605" s="52" t="s">
        <v>132</v>
      </c>
      <c r="E605" s="52" t="s">
        <v>180</v>
      </c>
      <c r="F605" s="18">
        <f>935-385-350</f>
        <v>200</v>
      </c>
      <c r="G605" s="17">
        <f t="shared" si="29"/>
        <v>200</v>
      </c>
      <c r="H605" s="77"/>
      <c r="I605" s="9"/>
      <c r="J605" s="14"/>
    </row>
    <row r="606" spans="1:10" ht="24">
      <c r="A606" s="16" t="s">
        <v>1998</v>
      </c>
      <c r="B606" s="52" t="s">
        <v>1651</v>
      </c>
      <c r="C606" s="52" t="s">
        <v>923</v>
      </c>
      <c r="D606" s="52" t="s">
        <v>132</v>
      </c>
      <c r="E606" s="52" t="s">
        <v>180</v>
      </c>
      <c r="F606" s="18">
        <v>500</v>
      </c>
      <c r="G606" s="17">
        <f t="shared" si="29"/>
        <v>500</v>
      </c>
      <c r="H606" s="77"/>
      <c r="I606" s="9"/>
      <c r="J606" s="14"/>
    </row>
    <row r="607" spans="1:10" ht="53.25" customHeight="1" hidden="1">
      <c r="A607" s="16" t="s">
        <v>974</v>
      </c>
      <c r="B607" s="52" t="s">
        <v>1651</v>
      </c>
      <c r="C607" s="52" t="s">
        <v>923</v>
      </c>
      <c r="D607" s="52" t="s">
        <v>701</v>
      </c>
      <c r="E607" s="52" t="s">
        <v>575</v>
      </c>
      <c r="F607" s="17">
        <f>F608</f>
        <v>0</v>
      </c>
      <c r="G607" s="17">
        <f t="shared" si="29"/>
        <v>0</v>
      </c>
      <c r="H607" s="77"/>
      <c r="I607" s="9"/>
      <c r="J607" s="14"/>
    </row>
    <row r="608" spans="1:10" ht="28.5" customHeight="1" hidden="1">
      <c r="A608" s="16" t="s">
        <v>395</v>
      </c>
      <c r="B608" s="52" t="s">
        <v>1651</v>
      </c>
      <c r="C608" s="52" t="s">
        <v>923</v>
      </c>
      <c r="D608" s="52" t="s">
        <v>701</v>
      </c>
      <c r="E608" s="52" t="s">
        <v>1434</v>
      </c>
      <c r="F608" s="18"/>
      <c r="G608" s="17">
        <f t="shared" si="29"/>
        <v>0</v>
      </c>
      <c r="H608" s="77"/>
      <c r="I608" s="9"/>
      <c r="J608" s="14"/>
    </row>
    <row r="609" spans="1:10" ht="48">
      <c r="A609" s="16" t="s">
        <v>1446</v>
      </c>
      <c r="B609" s="52" t="s">
        <v>1651</v>
      </c>
      <c r="C609" s="52" t="s">
        <v>923</v>
      </c>
      <c r="D609" s="52" t="s">
        <v>853</v>
      </c>
      <c r="E609" s="9"/>
      <c r="F609" s="17">
        <f>F610+F620</f>
        <v>6572</v>
      </c>
      <c r="G609" s="17">
        <f aca="true" t="shared" si="30" ref="G609:G625">F609-H609</f>
        <v>6572</v>
      </c>
      <c r="H609" s="77"/>
      <c r="I609" s="9"/>
      <c r="J609" s="14"/>
    </row>
    <row r="610" spans="1:10" ht="48">
      <c r="A610" s="16" t="s">
        <v>787</v>
      </c>
      <c r="B610" s="52" t="s">
        <v>1651</v>
      </c>
      <c r="C610" s="52" t="s">
        <v>923</v>
      </c>
      <c r="D610" s="52" t="s">
        <v>1532</v>
      </c>
      <c r="E610" s="52" t="s">
        <v>575</v>
      </c>
      <c r="F610" s="17">
        <f>F611+F615</f>
        <v>6342</v>
      </c>
      <c r="G610" s="17">
        <f t="shared" si="30"/>
        <v>6342</v>
      </c>
      <c r="H610" s="77"/>
      <c r="I610" s="9"/>
      <c r="J610" s="14"/>
    </row>
    <row r="611" spans="1:10" ht="24">
      <c r="A611" s="16" t="s">
        <v>270</v>
      </c>
      <c r="B611" s="52" t="s">
        <v>1651</v>
      </c>
      <c r="C611" s="52" t="s">
        <v>923</v>
      </c>
      <c r="D611" s="52" t="s">
        <v>1532</v>
      </c>
      <c r="E611" s="52" t="s">
        <v>271</v>
      </c>
      <c r="F611" s="17">
        <f>F612+F613</f>
        <v>247</v>
      </c>
      <c r="G611" s="17">
        <f t="shared" si="30"/>
        <v>247</v>
      </c>
      <c r="H611" s="77"/>
      <c r="I611" s="9"/>
      <c r="J611" s="14"/>
    </row>
    <row r="612" spans="1:10" ht="24">
      <c r="A612" s="16" t="s">
        <v>269</v>
      </c>
      <c r="B612" s="52" t="s">
        <v>1651</v>
      </c>
      <c r="C612" s="52" t="s">
        <v>923</v>
      </c>
      <c r="D612" s="52" t="s">
        <v>1532</v>
      </c>
      <c r="E612" s="52" t="s">
        <v>570</v>
      </c>
      <c r="F612" s="18">
        <v>180</v>
      </c>
      <c r="G612" s="17">
        <f t="shared" si="30"/>
        <v>180</v>
      </c>
      <c r="H612" s="77"/>
      <c r="I612" s="9"/>
      <c r="J612" s="14"/>
    </row>
    <row r="613" spans="1:10" ht="24">
      <c r="A613" s="16" t="s">
        <v>1445</v>
      </c>
      <c r="B613" s="52" t="s">
        <v>1651</v>
      </c>
      <c r="C613" s="52" t="s">
        <v>923</v>
      </c>
      <c r="D613" s="52" t="s">
        <v>1532</v>
      </c>
      <c r="E613" s="52" t="s">
        <v>180</v>
      </c>
      <c r="F613" s="17">
        <f>F614</f>
        <v>67</v>
      </c>
      <c r="G613" s="17">
        <f t="shared" si="30"/>
        <v>67</v>
      </c>
      <c r="H613" s="77"/>
      <c r="I613" s="9"/>
      <c r="J613" s="14"/>
    </row>
    <row r="614" spans="1:10" ht="24">
      <c r="A614" s="16" t="s">
        <v>762</v>
      </c>
      <c r="B614" s="52" t="s">
        <v>1651</v>
      </c>
      <c r="C614" s="52" t="s">
        <v>923</v>
      </c>
      <c r="D614" s="52" t="s">
        <v>1532</v>
      </c>
      <c r="E614" s="52" t="s">
        <v>180</v>
      </c>
      <c r="F614" s="18">
        <v>67</v>
      </c>
      <c r="G614" s="17">
        <f t="shared" si="30"/>
        <v>67</v>
      </c>
      <c r="H614" s="77"/>
      <c r="I614" s="9"/>
      <c r="J614" s="14"/>
    </row>
    <row r="615" spans="1:10" ht="24">
      <c r="A615" s="16" t="s">
        <v>396</v>
      </c>
      <c r="B615" s="52" t="s">
        <v>1651</v>
      </c>
      <c r="C615" s="52" t="s">
        <v>923</v>
      </c>
      <c r="D615" s="52" t="s">
        <v>1532</v>
      </c>
      <c r="E615" s="52" t="s">
        <v>1433</v>
      </c>
      <c r="F615" s="17">
        <f>F616+F617</f>
        <v>6095</v>
      </c>
      <c r="G615" s="17">
        <f t="shared" si="30"/>
        <v>6095</v>
      </c>
      <c r="H615" s="77"/>
      <c r="I615" s="9"/>
      <c r="J615" s="14"/>
    </row>
    <row r="616" spans="1:10" ht="24">
      <c r="A616" s="16" t="s">
        <v>395</v>
      </c>
      <c r="B616" s="52" t="s">
        <v>1651</v>
      </c>
      <c r="C616" s="52" t="s">
        <v>923</v>
      </c>
      <c r="D616" s="52" t="s">
        <v>1532</v>
      </c>
      <c r="E616" s="52" t="s">
        <v>1434</v>
      </c>
      <c r="F616" s="18">
        <f>5029-1000</f>
        <v>4029</v>
      </c>
      <c r="G616" s="17">
        <f t="shared" si="30"/>
        <v>4029</v>
      </c>
      <c r="H616" s="77"/>
      <c r="I616" s="9"/>
      <c r="J616" s="14"/>
    </row>
    <row r="617" spans="1:10" ht="24">
      <c r="A617" s="16" t="s">
        <v>771</v>
      </c>
      <c r="B617" s="52" t="s">
        <v>1651</v>
      </c>
      <c r="C617" s="52" t="s">
        <v>923</v>
      </c>
      <c r="D617" s="52" t="s">
        <v>1532</v>
      </c>
      <c r="E617" s="52" t="s">
        <v>1196</v>
      </c>
      <c r="F617" s="17">
        <f>F618</f>
        <v>2066</v>
      </c>
      <c r="G617" s="17">
        <f t="shared" si="30"/>
        <v>2066</v>
      </c>
      <c r="H617" s="77"/>
      <c r="I617" s="9"/>
      <c r="J617" s="14"/>
    </row>
    <row r="618" spans="1:10" ht="36">
      <c r="A618" s="16" t="s">
        <v>640</v>
      </c>
      <c r="B618" s="52" t="s">
        <v>1651</v>
      </c>
      <c r="C618" s="52" t="s">
        <v>923</v>
      </c>
      <c r="D618" s="52" t="s">
        <v>1532</v>
      </c>
      <c r="E618" s="52" t="s">
        <v>1196</v>
      </c>
      <c r="F618" s="18">
        <f>600+466+1000</f>
        <v>2066</v>
      </c>
      <c r="G618" s="17">
        <f t="shared" si="30"/>
        <v>2066</v>
      </c>
      <c r="H618" s="77"/>
      <c r="I618" s="9"/>
      <c r="J618" s="14"/>
    </row>
    <row r="619" spans="1:10" ht="24" hidden="1">
      <c r="A619" s="16" t="s">
        <v>1083</v>
      </c>
      <c r="B619" s="52"/>
      <c r="C619" s="52"/>
      <c r="D619" s="52"/>
      <c r="E619" s="52"/>
      <c r="F619" s="18"/>
      <c r="G619" s="17"/>
      <c r="H619" s="77"/>
      <c r="I619" s="9"/>
      <c r="J619" s="14"/>
    </row>
    <row r="620" spans="1:10" ht="60">
      <c r="A620" s="16" t="s">
        <v>314</v>
      </c>
      <c r="B620" s="52" t="s">
        <v>1651</v>
      </c>
      <c r="C620" s="52" t="s">
        <v>923</v>
      </c>
      <c r="D620" s="52" t="s">
        <v>858</v>
      </c>
      <c r="E620" s="52" t="s">
        <v>575</v>
      </c>
      <c r="F620" s="17">
        <f>F621</f>
        <v>230</v>
      </c>
      <c r="G620" s="17">
        <f t="shared" si="30"/>
        <v>230</v>
      </c>
      <c r="H620" s="77"/>
      <c r="I620" s="9"/>
      <c r="J620" s="14"/>
    </row>
    <row r="621" spans="1:10" ht="24">
      <c r="A621" s="16" t="s">
        <v>270</v>
      </c>
      <c r="B621" s="52" t="s">
        <v>1651</v>
      </c>
      <c r="C621" s="52" t="s">
        <v>923</v>
      </c>
      <c r="D621" s="52" t="s">
        <v>858</v>
      </c>
      <c r="E621" s="52" t="s">
        <v>271</v>
      </c>
      <c r="F621" s="17">
        <f>F622+F623</f>
        <v>230</v>
      </c>
      <c r="G621" s="17">
        <f t="shared" si="30"/>
        <v>230</v>
      </c>
      <c r="H621" s="77"/>
      <c r="I621" s="9"/>
      <c r="J621" s="14"/>
    </row>
    <row r="622" spans="1:10" ht="24">
      <c r="A622" s="16" t="s">
        <v>269</v>
      </c>
      <c r="B622" s="52" t="s">
        <v>1651</v>
      </c>
      <c r="C622" s="52" t="s">
        <v>923</v>
      </c>
      <c r="D622" s="52" t="s">
        <v>858</v>
      </c>
      <c r="E622" s="52" t="s">
        <v>570</v>
      </c>
      <c r="F622" s="18">
        <v>163</v>
      </c>
      <c r="G622" s="17">
        <f t="shared" si="30"/>
        <v>163</v>
      </c>
      <c r="H622" s="77"/>
      <c r="I622" s="9"/>
      <c r="J622" s="14"/>
    </row>
    <row r="623" spans="1:10" ht="24">
      <c r="A623" s="16" t="s">
        <v>1445</v>
      </c>
      <c r="B623" s="52" t="s">
        <v>1651</v>
      </c>
      <c r="C623" s="52" t="s">
        <v>923</v>
      </c>
      <c r="D623" s="52" t="s">
        <v>858</v>
      </c>
      <c r="E623" s="52" t="s">
        <v>180</v>
      </c>
      <c r="F623" s="17">
        <f>F624</f>
        <v>67</v>
      </c>
      <c r="G623" s="17">
        <f t="shared" si="30"/>
        <v>67</v>
      </c>
      <c r="H623" s="77"/>
      <c r="I623" s="9"/>
      <c r="J623" s="14"/>
    </row>
    <row r="624" spans="1:10" ht="24">
      <c r="A624" s="16" t="s">
        <v>762</v>
      </c>
      <c r="B624" s="52" t="s">
        <v>1651</v>
      </c>
      <c r="C624" s="52" t="s">
        <v>923</v>
      </c>
      <c r="D624" s="52" t="s">
        <v>858</v>
      </c>
      <c r="E624" s="52" t="s">
        <v>180</v>
      </c>
      <c r="F624" s="18">
        <v>67</v>
      </c>
      <c r="G624" s="17">
        <f t="shared" si="30"/>
        <v>67</v>
      </c>
      <c r="H624" s="77"/>
      <c r="I624" s="9"/>
      <c r="J624" s="14"/>
    </row>
    <row r="625" spans="1:10" ht="76.5" customHeight="1">
      <c r="A625" s="16" t="s">
        <v>975</v>
      </c>
      <c r="B625" s="52" t="s">
        <v>1651</v>
      </c>
      <c r="C625" s="52" t="s">
        <v>923</v>
      </c>
      <c r="D625" s="52" t="s">
        <v>133</v>
      </c>
      <c r="E625" s="52" t="s">
        <v>575</v>
      </c>
      <c r="F625" s="17">
        <f>F626+F631</f>
        <v>6300</v>
      </c>
      <c r="G625" s="17">
        <f t="shared" si="30"/>
        <v>6300</v>
      </c>
      <c r="H625" s="77"/>
      <c r="I625" s="9"/>
      <c r="J625" s="14"/>
    </row>
    <row r="626" spans="1:10" ht="68.25" customHeight="1">
      <c r="A626" s="16" t="s">
        <v>1001</v>
      </c>
      <c r="B626" s="52" t="s">
        <v>1651</v>
      </c>
      <c r="C626" s="52" t="s">
        <v>923</v>
      </c>
      <c r="D626" s="52" t="s">
        <v>134</v>
      </c>
      <c r="E626" s="52" t="s">
        <v>575</v>
      </c>
      <c r="F626" s="17">
        <f>F627+F629</f>
        <v>3900</v>
      </c>
      <c r="G626" s="17">
        <f aca="true" t="shared" si="31" ref="G626:G633">F626-H626</f>
        <v>3900</v>
      </c>
      <c r="H626" s="77"/>
      <c r="I626" s="9"/>
      <c r="J626" s="14"/>
    </row>
    <row r="627" spans="1:10" ht="24">
      <c r="A627" s="16" t="s">
        <v>270</v>
      </c>
      <c r="B627" s="52" t="s">
        <v>1651</v>
      </c>
      <c r="C627" s="52" t="s">
        <v>923</v>
      </c>
      <c r="D627" s="52" t="s">
        <v>134</v>
      </c>
      <c r="E627" s="52" t="s">
        <v>271</v>
      </c>
      <c r="F627" s="17">
        <f>F628</f>
        <v>269</v>
      </c>
      <c r="G627" s="17">
        <f t="shared" si="31"/>
        <v>269</v>
      </c>
      <c r="H627" s="77"/>
      <c r="I627" s="9"/>
      <c r="J627" s="14"/>
    </row>
    <row r="628" spans="1:10" ht="24">
      <c r="A628" s="16" t="s">
        <v>269</v>
      </c>
      <c r="B628" s="52" t="s">
        <v>1651</v>
      </c>
      <c r="C628" s="52" t="s">
        <v>923</v>
      </c>
      <c r="D628" s="52" t="s">
        <v>134</v>
      </c>
      <c r="E628" s="52" t="s">
        <v>570</v>
      </c>
      <c r="F628" s="18">
        <v>269</v>
      </c>
      <c r="G628" s="17">
        <f t="shared" si="31"/>
        <v>269</v>
      </c>
      <c r="H628" s="77"/>
      <c r="I628" s="9"/>
      <c r="J628" s="14"/>
    </row>
    <row r="629" spans="1:10" ht="24">
      <c r="A629" s="16" t="s">
        <v>396</v>
      </c>
      <c r="B629" s="52" t="s">
        <v>1651</v>
      </c>
      <c r="C629" s="52" t="s">
        <v>923</v>
      </c>
      <c r="D629" s="52" t="s">
        <v>134</v>
      </c>
      <c r="E629" s="52" t="s">
        <v>1433</v>
      </c>
      <c r="F629" s="17">
        <f>F630</f>
        <v>3631</v>
      </c>
      <c r="G629" s="17">
        <f t="shared" si="31"/>
        <v>3631</v>
      </c>
      <c r="H629" s="77"/>
      <c r="I629" s="9"/>
      <c r="J629" s="14"/>
    </row>
    <row r="630" spans="1:10" ht="24">
      <c r="A630" s="16" t="s">
        <v>395</v>
      </c>
      <c r="B630" s="52" t="s">
        <v>1651</v>
      </c>
      <c r="C630" s="52" t="s">
        <v>923</v>
      </c>
      <c r="D630" s="52" t="s">
        <v>134</v>
      </c>
      <c r="E630" s="52" t="s">
        <v>1434</v>
      </c>
      <c r="F630" s="18">
        <v>3631</v>
      </c>
      <c r="G630" s="17">
        <f t="shared" si="31"/>
        <v>3631</v>
      </c>
      <c r="H630" s="77"/>
      <c r="I630" s="9"/>
      <c r="J630" s="14"/>
    </row>
    <row r="631" spans="1:10" ht="72">
      <c r="A631" s="16" t="s">
        <v>1002</v>
      </c>
      <c r="B631" s="52" t="s">
        <v>1651</v>
      </c>
      <c r="C631" s="52" t="s">
        <v>923</v>
      </c>
      <c r="D631" s="52" t="s">
        <v>135</v>
      </c>
      <c r="E631" s="52" t="s">
        <v>575</v>
      </c>
      <c r="F631" s="17">
        <f>F632</f>
        <v>2400</v>
      </c>
      <c r="G631" s="17">
        <f t="shared" si="31"/>
        <v>2400</v>
      </c>
      <c r="H631" s="77"/>
      <c r="I631" s="9"/>
      <c r="J631" s="14"/>
    </row>
    <row r="632" spans="1:10" ht="24">
      <c r="A632" s="16" t="s">
        <v>270</v>
      </c>
      <c r="B632" s="52" t="s">
        <v>1651</v>
      </c>
      <c r="C632" s="52" t="s">
        <v>923</v>
      </c>
      <c r="D632" s="52" t="s">
        <v>135</v>
      </c>
      <c r="E632" s="52" t="s">
        <v>271</v>
      </c>
      <c r="F632" s="17">
        <f>F633</f>
        <v>2400</v>
      </c>
      <c r="G632" s="17">
        <f t="shared" si="31"/>
        <v>2400</v>
      </c>
      <c r="H632" s="77"/>
      <c r="I632" s="9"/>
      <c r="J632" s="14"/>
    </row>
    <row r="633" spans="1:10" ht="24">
      <c r="A633" s="16" t="s">
        <v>269</v>
      </c>
      <c r="B633" s="52" t="s">
        <v>1651</v>
      </c>
      <c r="C633" s="52" t="s">
        <v>923</v>
      </c>
      <c r="D633" s="52" t="s">
        <v>135</v>
      </c>
      <c r="E633" s="52" t="s">
        <v>570</v>
      </c>
      <c r="F633" s="18">
        <f>3700-1300</f>
        <v>2400</v>
      </c>
      <c r="G633" s="17">
        <f t="shared" si="31"/>
        <v>2400</v>
      </c>
      <c r="H633" s="77"/>
      <c r="I633" s="9"/>
      <c r="J633" s="14"/>
    </row>
    <row r="634" spans="1:8" ht="24" hidden="1">
      <c r="A634" s="75" t="s">
        <v>164</v>
      </c>
      <c r="B634" s="15" t="s">
        <v>1651</v>
      </c>
      <c r="C634" s="15" t="s">
        <v>1653</v>
      </c>
      <c r="D634" s="15"/>
      <c r="E634" s="15"/>
      <c r="F634" s="17">
        <f aca="true" t="shared" si="32" ref="F634:H635">F635</f>
        <v>0</v>
      </c>
      <c r="G634" s="17">
        <f t="shared" si="32"/>
        <v>0</v>
      </c>
      <c r="H634" s="17">
        <f t="shared" si="32"/>
        <v>0</v>
      </c>
    </row>
    <row r="635" spans="1:8" ht="24" hidden="1">
      <c r="A635" s="16" t="s">
        <v>2002</v>
      </c>
      <c r="B635" s="15" t="s">
        <v>1651</v>
      </c>
      <c r="C635" s="15" t="s">
        <v>1653</v>
      </c>
      <c r="D635" s="15" t="s">
        <v>594</v>
      </c>
      <c r="E635" s="15"/>
      <c r="F635" s="17">
        <f t="shared" si="32"/>
        <v>0</v>
      </c>
      <c r="G635" s="17">
        <f t="shared" si="32"/>
        <v>0</v>
      </c>
      <c r="H635" s="17">
        <f t="shared" si="32"/>
        <v>0</v>
      </c>
    </row>
    <row r="636" spans="1:8" ht="24.75" hidden="1">
      <c r="A636" s="16" t="s">
        <v>359</v>
      </c>
      <c r="B636" s="15" t="s">
        <v>1651</v>
      </c>
      <c r="C636" s="15" t="s">
        <v>1653</v>
      </c>
      <c r="D636" s="15" t="s">
        <v>594</v>
      </c>
      <c r="E636" s="15" t="s">
        <v>360</v>
      </c>
      <c r="F636" s="18">
        <v>0</v>
      </c>
      <c r="G636" s="17">
        <f>F636-H636</f>
        <v>0</v>
      </c>
      <c r="H636" s="18"/>
    </row>
    <row r="637" spans="1:8" ht="36">
      <c r="A637" s="29" t="s">
        <v>1060</v>
      </c>
      <c r="B637" s="15" t="s">
        <v>1651</v>
      </c>
      <c r="C637" s="15" t="s">
        <v>1648</v>
      </c>
      <c r="D637" s="15"/>
      <c r="E637" s="15"/>
      <c r="F637" s="17">
        <f>F638+F640</f>
        <v>400</v>
      </c>
      <c r="G637" s="17">
        <f>G638+G640</f>
        <v>400</v>
      </c>
      <c r="H637" s="17">
        <f>H638+H640</f>
        <v>0</v>
      </c>
    </row>
    <row r="638" spans="1:8" ht="24" hidden="1">
      <c r="A638" s="16" t="s">
        <v>2002</v>
      </c>
      <c r="B638" s="15" t="s">
        <v>1651</v>
      </c>
      <c r="C638" s="15" t="s">
        <v>1648</v>
      </c>
      <c r="D638" s="15" t="s">
        <v>959</v>
      </c>
      <c r="E638" s="15"/>
      <c r="F638" s="17">
        <f>F639</f>
        <v>0</v>
      </c>
      <c r="G638" s="17">
        <f>G639</f>
        <v>0</v>
      </c>
      <c r="H638" s="17">
        <f>H639</f>
        <v>0</v>
      </c>
    </row>
    <row r="639" spans="1:8" ht="24.75" hidden="1">
      <c r="A639" s="16" t="s">
        <v>359</v>
      </c>
      <c r="B639" s="15" t="s">
        <v>1651</v>
      </c>
      <c r="C639" s="15" t="s">
        <v>1648</v>
      </c>
      <c r="D639" s="15" t="s">
        <v>959</v>
      </c>
      <c r="E639" s="15" t="s">
        <v>360</v>
      </c>
      <c r="F639" s="18"/>
      <c r="G639" s="17">
        <f aca="true" t="shared" si="33" ref="G639:G647">F639-H639</f>
        <v>0</v>
      </c>
      <c r="H639" s="18"/>
    </row>
    <row r="640" spans="1:8" ht="24">
      <c r="A640" s="31" t="s">
        <v>1664</v>
      </c>
      <c r="B640" s="15" t="s">
        <v>1651</v>
      </c>
      <c r="C640" s="15" t="s">
        <v>1648</v>
      </c>
      <c r="D640" s="15" t="s">
        <v>1663</v>
      </c>
      <c r="E640" s="15"/>
      <c r="F640" s="17">
        <f>F641</f>
        <v>400</v>
      </c>
      <c r="G640" s="17">
        <f t="shared" si="33"/>
        <v>400</v>
      </c>
      <c r="H640" s="18"/>
    </row>
    <row r="641" spans="1:8" ht="27.75" customHeight="1">
      <c r="A641" s="16" t="s">
        <v>381</v>
      </c>
      <c r="B641" s="15" t="s">
        <v>1651</v>
      </c>
      <c r="C641" s="15" t="s">
        <v>1648</v>
      </c>
      <c r="D641" s="15" t="s">
        <v>854</v>
      </c>
      <c r="E641" s="15" t="s">
        <v>575</v>
      </c>
      <c r="F641" s="17">
        <f>F642+F643</f>
        <v>400</v>
      </c>
      <c r="G641" s="17">
        <f>F641-H641</f>
        <v>400</v>
      </c>
      <c r="H641" s="18"/>
    </row>
    <row r="642" spans="1:8" ht="27.75" customHeight="1">
      <c r="A642" s="16" t="s">
        <v>1377</v>
      </c>
      <c r="B642" s="15" t="s">
        <v>1651</v>
      </c>
      <c r="C642" s="15" t="s">
        <v>1648</v>
      </c>
      <c r="D642" s="15" t="s">
        <v>854</v>
      </c>
      <c r="E642" s="15" t="s">
        <v>385</v>
      </c>
      <c r="F642" s="18">
        <v>1.2</v>
      </c>
      <c r="G642" s="17">
        <f>F642-H642</f>
        <v>1.2</v>
      </c>
      <c r="H642" s="18"/>
    </row>
    <row r="643" spans="1:8" ht="27.75" customHeight="1">
      <c r="A643" s="35" t="s">
        <v>528</v>
      </c>
      <c r="B643" s="15" t="s">
        <v>1651</v>
      </c>
      <c r="C643" s="15" t="s">
        <v>1648</v>
      </c>
      <c r="D643" s="15" t="s">
        <v>854</v>
      </c>
      <c r="E643" s="15" t="s">
        <v>1644</v>
      </c>
      <c r="F643" s="17">
        <f>F644</f>
        <v>398.8</v>
      </c>
      <c r="G643" s="17">
        <f>F643-H643</f>
        <v>398.8</v>
      </c>
      <c r="H643" s="18"/>
    </row>
    <row r="644" spans="1:8" ht="27.75" customHeight="1">
      <c r="A644" s="155" t="s">
        <v>1535</v>
      </c>
      <c r="B644" s="15" t="s">
        <v>1651</v>
      </c>
      <c r="C644" s="15" t="s">
        <v>1648</v>
      </c>
      <c r="D644" s="15" t="s">
        <v>854</v>
      </c>
      <c r="E644" s="15" t="s">
        <v>1536</v>
      </c>
      <c r="F644" s="18">
        <f>400-1.2</f>
        <v>398.8</v>
      </c>
      <c r="G644" s="17">
        <f>F644-H644</f>
        <v>398.8</v>
      </c>
      <c r="H644" s="18"/>
    </row>
    <row r="645" spans="1:8" ht="24.75" hidden="1">
      <c r="A645" s="16" t="s">
        <v>270</v>
      </c>
      <c r="B645" s="15" t="s">
        <v>1651</v>
      </c>
      <c r="C645" s="15" t="s">
        <v>1648</v>
      </c>
      <c r="D645" s="15" t="s">
        <v>854</v>
      </c>
      <c r="E645" s="15" t="s">
        <v>271</v>
      </c>
      <c r="F645" s="17">
        <f>F646+F647</f>
        <v>0</v>
      </c>
      <c r="G645" s="17">
        <f t="shared" si="33"/>
        <v>0</v>
      </c>
      <c r="H645" s="18"/>
    </row>
    <row r="646" spans="1:8" ht="24.75" hidden="1">
      <c r="A646" s="16" t="s">
        <v>269</v>
      </c>
      <c r="B646" s="15" t="s">
        <v>1651</v>
      </c>
      <c r="C646" s="15" t="s">
        <v>1648</v>
      </c>
      <c r="D646" s="15" t="s">
        <v>854</v>
      </c>
      <c r="E646" s="15" t="s">
        <v>570</v>
      </c>
      <c r="F646" s="18">
        <f>365-365</f>
        <v>0</v>
      </c>
      <c r="G646" s="17">
        <f t="shared" si="33"/>
        <v>0</v>
      </c>
      <c r="H646" s="18"/>
    </row>
    <row r="647" spans="1:8" ht="24.75" hidden="1">
      <c r="A647" s="16" t="s">
        <v>850</v>
      </c>
      <c r="B647" s="15" t="s">
        <v>1651</v>
      </c>
      <c r="C647" s="15" t="s">
        <v>1648</v>
      </c>
      <c r="D647" s="15" t="s">
        <v>854</v>
      </c>
      <c r="E647" s="15" t="s">
        <v>180</v>
      </c>
      <c r="F647" s="18"/>
      <c r="G647" s="17">
        <f t="shared" si="33"/>
        <v>0</v>
      </c>
      <c r="H647" s="18"/>
    </row>
    <row r="648" spans="1:8" ht="15.75" hidden="1">
      <c r="A648" s="16"/>
      <c r="B648" s="15"/>
      <c r="C648" s="15"/>
      <c r="D648" s="15" t="s">
        <v>855</v>
      </c>
      <c r="E648" s="15"/>
      <c r="F648" s="18"/>
      <c r="G648" s="17"/>
      <c r="H648" s="18"/>
    </row>
    <row r="649" spans="1:8" ht="24">
      <c r="A649" s="29" t="s">
        <v>220</v>
      </c>
      <c r="B649" s="15" t="s">
        <v>1651</v>
      </c>
      <c r="C649" s="15" t="s">
        <v>1651</v>
      </c>
      <c r="D649" s="15"/>
      <c r="E649" s="15"/>
      <c r="F649" s="17">
        <f>F650+F652+F669+F673+F684+F692</f>
        <v>46568.5</v>
      </c>
      <c r="G649" s="17">
        <f>G650+G652+G669+G673+G684+G692</f>
        <v>46568.5</v>
      </c>
      <c r="H649" s="17">
        <f>H650+H652+H669+H673+H684+H692</f>
        <v>0</v>
      </c>
    </row>
    <row r="650" spans="1:8" ht="84" hidden="1">
      <c r="A650" s="31" t="s">
        <v>376</v>
      </c>
      <c r="B650" s="15" t="s">
        <v>1651</v>
      </c>
      <c r="C650" s="15" t="s">
        <v>1651</v>
      </c>
      <c r="D650" s="15" t="s">
        <v>15</v>
      </c>
      <c r="E650" s="15"/>
      <c r="F650" s="17">
        <f>F651</f>
        <v>0</v>
      </c>
      <c r="G650" s="17">
        <f>F650-H650</f>
        <v>0</v>
      </c>
      <c r="H650" s="17"/>
    </row>
    <row r="651" spans="1:8" ht="24.75" hidden="1">
      <c r="A651" s="35" t="s">
        <v>166</v>
      </c>
      <c r="B651" s="15" t="s">
        <v>1651</v>
      </c>
      <c r="C651" s="15" t="s">
        <v>1651</v>
      </c>
      <c r="D651" s="15" t="s">
        <v>15</v>
      </c>
      <c r="E651" s="15" t="s">
        <v>167</v>
      </c>
      <c r="F651" s="18"/>
      <c r="G651" s="17">
        <f>F651-H651</f>
        <v>0</v>
      </c>
      <c r="H651" s="17"/>
    </row>
    <row r="652" spans="1:8" ht="24">
      <c r="A652" s="30" t="s">
        <v>221</v>
      </c>
      <c r="B652" s="15" t="s">
        <v>1651</v>
      </c>
      <c r="C652" s="15" t="s">
        <v>1651</v>
      </c>
      <c r="D652" s="15" t="s">
        <v>222</v>
      </c>
      <c r="E652" s="15"/>
      <c r="F652" s="17">
        <f>F653+F655+F660+F658</f>
        <v>30</v>
      </c>
      <c r="G652" s="17">
        <f>G653+G655+G660+G658</f>
        <v>30</v>
      </c>
      <c r="H652" s="17">
        <f>H653+H655</f>
        <v>0</v>
      </c>
    </row>
    <row r="653" spans="1:8" ht="24.75" hidden="1">
      <c r="A653" s="16" t="s">
        <v>2002</v>
      </c>
      <c r="B653" s="15" t="s">
        <v>1651</v>
      </c>
      <c r="C653" s="15" t="s">
        <v>1651</v>
      </c>
      <c r="D653" s="15" t="s">
        <v>1558</v>
      </c>
      <c r="E653" s="15" t="s">
        <v>575</v>
      </c>
      <c r="F653" s="17">
        <f>F654</f>
        <v>0</v>
      </c>
      <c r="G653" s="17">
        <f aca="true" t="shared" si="34" ref="G653:G691">F653-H653</f>
        <v>0</v>
      </c>
      <c r="H653" s="18"/>
    </row>
    <row r="654" spans="1:8" ht="24.75" hidden="1">
      <c r="A654" s="16" t="s">
        <v>270</v>
      </c>
      <c r="B654" s="15" t="s">
        <v>1651</v>
      </c>
      <c r="C654" s="15" t="s">
        <v>1651</v>
      </c>
      <c r="D654" s="15" t="s">
        <v>1558</v>
      </c>
      <c r="E654" s="15" t="s">
        <v>271</v>
      </c>
      <c r="F654" s="17">
        <f>F656</f>
        <v>0</v>
      </c>
      <c r="G654" s="17">
        <f t="shared" si="34"/>
        <v>0</v>
      </c>
      <c r="H654" s="18"/>
    </row>
    <row r="655" spans="1:8" ht="24.75" hidden="1">
      <c r="A655" s="16" t="s">
        <v>269</v>
      </c>
      <c r="B655" s="15" t="s">
        <v>1651</v>
      </c>
      <c r="C655" s="15" t="s">
        <v>1651</v>
      </c>
      <c r="D655" s="15" t="s">
        <v>1558</v>
      </c>
      <c r="E655" s="15" t="s">
        <v>570</v>
      </c>
      <c r="F655" s="18"/>
      <c r="G655" s="17">
        <f t="shared" si="34"/>
        <v>0</v>
      </c>
      <c r="H655" s="18"/>
    </row>
    <row r="656" spans="1:8" ht="24.75" hidden="1">
      <c r="A656" s="16" t="s">
        <v>368</v>
      </c>
      <c r="B656" s="15" t="s">
        <v>1651</v>
      </c>
      <c r="C656" s="15" t="s">
        <v>1651</v>
      </c>
      <c r="D656" s="15" t="s">
        <v>1558</v>
      </c>
      <c r="E656" s="15" t="s">
        <v>180</v>
      </c>
      <c r="F656" s="17">
        <f>F657</f>
        <v>0</v>
      </c>
      <c r="G656" s="17">
        <f t="shared" si="34"/>
        <v>0</v>
      </c>
      <c r="H656" s="18"/>
    </row>
    <row r="657" spans="1:8" ht="36" hidden="1">
      <c r="A657" s="16" t="s">
        <v>5</v>
      </c>
      <c r="B657" s="15" t="s">
        <v>1651</v>
      </c>
      <c r="C657" s="15" t="s">
        <v>1651</v>
      </c>
      <c r="D657" s="15" t="s">
        <v>6</v>
      </c>
      <c r="E657" s="15" t="s">
        <v>180</v>
      </c>
      <c r="F657" s="18">
        <v>0</v>
      </c>
      <c r="G657" s="17">
        <f t="shared" si="34"/>
        <v>0</v>
      </c>
      <c r="H657" s="18"/>
    </row>
    <row r="658" spans="1:8" ht="48" hidden="1">
      <c r="A658" s="16" t="s">
        <v>1378</v>
      </c>
      <c r="B658" s="15" t="s">
        <v>1651</v>
      </c>
      <c r="C658" s="15" t="s">
        <v>1651</v>
      </c>
      <c r="D658" s="15" t="s">
        <v>795</v>
      </c>
      <c r="E658" s="15" t="s">
        <v>575</v>
      </c>
      <c r="F658" s="17">
        <f>F659</f>
        <v>0</v>
      </c>
      <c r="G658" s="17">
        <f t="shared" si="34"/>
        <v>0</v>
      </c>
      <c r="H658" s="18"/>
    </row>
    <row r="659" spans="1:8" ht="24.75" hidden="1">
      <c r="A659" s="16" t="s">
        <v>269</v>
      </c>
      <c r="B659" s="15" t="s">
        <v>1651</v>
      </c>
      <c r="C659" s="15" t="s">
        <v>1651</v>
      </c>
      <c r="D659" s="15" t="s">
        <v>795</v>
      </c>
      <c r="E659" s="15" t="s">
        <v>570</v>
      </c>
      <c r="F659" s="18"/>
      <c r="G659" s="17">
        <f t="shared" si="34"/>
        <v>0</v>
      </c>
      <c r="H659" s="18"/>
    </row>
    <row r="660" spans="1:8" ht="24">
      <c r="A660" s="16" t="s">
        <v>2002</v>
      </c>
      <c r="B660" s="15" t="s">
        <v>1651</v>
      </c>
      <c r="C660" s="15" t="s">
        <v>1651</v>
      </c>
      <c r="D660" s="15" t="s">
        <v>664</v>
      </c>
      <c r="E660" s="15" t="s">
        <v>575</v>
      </c>
      <c r="F660" s="17">
        <f>F661</f>
        <v>30</v>
      </c>
      <c r="G660" s="17">
        <f>G661</f>
        <v>30</v>
      </c>
      <c r="H660" s="18"/>
    </row>
    <row r="661" spans="1:8" ht="24">
      <c r="A661" s="16" t="s">
        <v>270</v>
      </c>
      <c r="B661" s="15" t="s">
        <v>1651</v>
      </c>
      <c r="C661" s="15" t="s">
        <v>1651</v>
      </c>
      <c r="D661" s="15" t="s">
        <v>664</v>
      </c>
      <c r="E661" s="15" t="s">
        <v>271</v>
      </c>
      <c r="F661" s="17">
        <f>F662+F663</f>
        <v>30</v>
      </c>
      <c r="G661" s="17">
        <f t="shared" si="34"/>
        <v>30</v>
      </c>
      <c r="H661" s="18"/>
    </row>
    <row r="662" spans="1:8" ht="23.25" customHeight="1" hidden="1">
      <c r="A662" s="16" t="s">
        <v>269</v>
      </c>
      <c r="B662" s="15" t="s">
        <v>1651</v>
      </c>
      <c r="C662" s="15" t="s">
        <v>1651</v>
      </c>
      <c r="D662" s="15" t="s">
        <v>664</v>
      </c>
      <c r="E662" s="15" t="s">
        <v>570</v>
      </c>
      <c r="F662" s="18"/>
      <c r="G662" s="17">
        <f t="shared" si="34"/>
        <v>0</v>
      </c>
      <c r="H662" s="18"/>
    </row>
    <row r="663" spans="1:8" ht="23.25" customHeight="1">
      <c r="A663" s="16" t="s">
        <v>1997</v>
      </c>
      <c r="B663" s="15" t="s">
        <v>1651</v>
      </c>
      <c r="C663" s="15" t="s">
        <v>1651</v>
      </c>
      <c r="D663" s="15" t="s">
        <v>664</v>
      </c>
      <c r="E663" s="15" t="s">
        <v>180</v>
      </c>
      <c r="F663" s="17">
        <f>F664+F665+F666+F667+F668</f>
        <v>30</v>
      </c>
      <c r="G663" s="17">
        <f t="shared" si="34"/>
        <v>30</v>
      </c>
      <c r="H663" s="18"/>
    </row>
    <row r="664" spans="1:8" ht="24.75" customHeight="1" hidden="1">
      <c r="A664" s="16" t="s">
        <v>239</v>
      </c>
      <c r="B664" s="15" t="s">
        <v>1651</v>
      </c>
      <c r="C664" s="15" t="s">
        <v>1651</v>
      </c>
      <c r="D664" s="15" t="s">
        <v>664</v>
      </c>
      <c r="E664" s="15" t="s">
        <v>180</v>
      </c>
      <c r="F664" s="18"/>
      <c r="G664" s="17">
        <f t="shared" si="34"/>
        <v>0</v>
      </c>
      <c r="H664" s="18"/>
    </row>
    <row r="665" spans="1:8" ht="36" customHeight="1" hidden="1">
      <c r="A665" s="16" t="s">
        <v>238</v>
      </c>
      <c r="B665" s="15" t="s">
        <v>1651</v>
      </c>
      <c r="C665" s="15" t="s">
        <v>1651</v>
      </c>
      <c r="D665" s="15" t="s">
        <v>664</v>
      </c>
      <c r="E665" s="15" t="s">
        <v>180</v>
      </c>
      <c r="F665" s="18"/>
      <c r="G665" s="17">
        <f t="shared" si="34"/>
        <v>0</v>
      </c>
      <c r="H665" s="18"/>
    </row>
    <row r="666" spans="1:8" ht="26.25" customHeight="1" hidden="1">
      <c r="A666" s="16" t="s">
        <v>894</v>
      </c>
      <c r="B666" s="15" t="s">
        <v>1651</v>
      </c>
      <c r="C666" s="15" t="s">
        <v>1651</v>
      </c>
      <c r="D666" s="15" t="s">
        <v>664</v>
      </c>
      <c r="E666" s="15" t="s">
        <v>180</v>
      </c>
      <c r="F666" s="18"/>
      <c r="G666" s="17">
        <f t="shared" si="34"/>
        <v>0</v>
      </c>
      <c r="H666" s="18"/>
    </row>
    <row r="667" spans="1:8" ht="21" customHeight="1" hidden="1">
      <c r="A667" s="16" t="s">
        <v>1998</v>
      </c>
      <c r="B667" s="15" t="s">
        <v>1651</v>
      </c>
      <c r="C667" s="15" t="s">
        <v>1651</v>
      </c>
      <c r="D667" s="15" t="s">
        <v>664</v>
      </c>
      <c r="E667" s="15" t="s">
        <v>180</v>
      </c>
      <c r="F667" s="18"/>
      <c r="G667" s="17">
        <f t="shared" si="34"/>
        <v>0</v>
      </c>
      <c r="H667" s="18"/>
    </row>
    <row r="668" spans="1:8" ht="23.25" customHeight="1">
      <c r="A668" s="168" t="s">
        <v>1187</v>
      </c>
      <c r="B668" s="15" t="s">
        <v>1651</v>
      </c>
      <c r="C668" s="15" t="s">
        <v>1651</v>
      </c>
      <c r="D668" s="15" t="s">
        <v>664</v>
      </c>
      <c r="E668" s="15" t="s">
        <v>180</v>
      </c>
      <c r="F668" s="18">
        <f>400-370</f>
        <v>30</v>
      </c>
      <c r="G668" s="17">
        <f t="shared" si="34"/>
        <v>30</v>
      </c>
      <c r="H668" s="18"/>
    </row>
    <row r="669" spans="1:8" ht="40.5" customHeight="1" hidden="1">
      <c r="A669" s="169" t="s">
        <v>352</v>
      </c>
      <c r="B669" s="15" t="s">
        <v>1651</v>
      </c>
      <c r="C669" s="15" t="s">
        <v>1651</v>
      </c>
      <c r="D669" s="15" t="s">
        <v>353</v>
      </c>
      <c r="E669" s="15" t="s">
        <v>575</v>
      </c>
      <c r="F669" s="17">
        <f>F670</f>
        <v>0</v>
      </c>
      <c r="G669" s="17">
        <f t="shared" si="34"/>
        <v>0</v>
      </c>
      <c r="H669" s="18"/>
    </row>
    <row r="670" spans="1:8" ht="30" customHeight="1" hidden="1">
      <c r="A670" s="16" t="s">
        <v>1003</v>
      </c>
      <c r="B670" s="15" t="s">
        <v>1651</v>
      </c>
      <c r="C670" s="15" t="s">
        <v>1651</v>
      </c>
      <c r="D670" s="15" t="s">
        <v>353</v>
      </c>
      <c r="E670" s="15" t="s">
        <v>180</v>
      </c>
      <c r="F670" s="17">
        <f>F671+F672</f>
        <v>0</v>
      </c>
      <c r="G670" s="17">
        <f t="shared" si="34"/>
        <v>0</v>
      </c>
      <c r="H670" s="18"/>
    </row>
    <row r="671" spans="1:8" ht="30" customHeight="1" hidden="1">
      <c r="A671" s="16" t="s">
        <v>240</v>
      </c>
      <c r="B671" s="15" t="s">
        <v>1651</v>
      </c>
      <c r="C671" s="15" t="s">
        <v>1651</v>
      </c>
      <c r="D671" s="15" t="s">
        <v>353</v>
      </c>
      <c r="E671" s="15" t="s">
        <v>180</v>
      </c>
      <c r="F671" s="18"/>
      <c r="G671" s="17">
        <f t="shared" si="34"/>
        <v>0</v>
      </c>
      <c r="H671" s="18"/>
    </row>
    <row r="672" spans="1:8" ht="36" customHeight="1" hidden="1">
      <c r="A672" s="16" t="s">
        <v>241</v>
      </c>
      <c r="B672" s="15" t="s">
        <v>1651</v>
      </c>
      <c r="C672" s="15" t="s">
        <v>1651</v>
      </c>
      <c r="D672" s="15" t="s">
        <v>353</v>
      </c>
      <c r="E672" s="15" t="s">
        <v>180</v>
      </c>
      <c r="F672" s="18"/>
      <c r="G672" s="17">
        <f t="shared" si="34"/>
        <v>0</v>
      </c>
      <c r="H672" s="18"/>
    </row>
    <row r="673" spans="1:8" ht="24.75" hidden="1">
      <c r="A673" s="30" t="s">
        <v>796</v>
      </c>
      <c r="B673" s="15" t="s">
        <v>1651</v>
      </c>
      <c r="C673" s="15" t="s">
        <v>1651</v>
      </c>
      <c r="D673" s="15" t="s">
        <v>971</v>
      </c>
      <c r="E673" s="15" t="s">
        <v>575</v>
      </c>
      <c r="F673" s="17">
        <f>F674+F675+F676+F680</f>
        <v>0</v>
      </c>
      <c r="G673" s="17">
        <f t="shared" si="34"/>
        <v>0</v>
      </c>
      <c r="H673" s="17">
        <f>H676</f>
        <v>0</v>
      </c>
    </row>
    <row r="674" spans="1:8" ht="24.75" hidden="1">
      <c r="A674" s="16" t="s">
        <v>1185</v>
      </c>
      <c r="B674" s="15" t="s">
        <v>1651</v>
      </c>
      <c r="C674" s="15" t="s">
        <v>1651</v>
      </c>
      <c r="D674" s="15" t="s">
        <v>971</v>
      </c>
      <c r="E674" s="15" t="s">
        <v>1899</v>
      </c>
      <c r="F674" s="18"/>
      <c r="G674" s="17">
        <f t="shared" si="34"/>
        <v>0</v>
      </c>
      <c r="H674" s="17"/>
    </row>
    <row r="675" spans="1:8" ht="36" hidden="1">
      <c r="A675" s="16" t="s">
        <v>108</v>
      </c>
      <c r="B675" s="15" t="s">
        <v>1651</v>
      </c>
      <c r="C675" s="15" t="s">
        <v>1651</v>
      </c>
      <c r="D675" s="15" t="s">
        <v>971</v>
      </c>
      <c r="E675" s="15" t="s">
        <v>30</v>
      </c>
      <c r="F675" s="18"/>
      <c r="G675" s="17">
        <f t="shared" si="34"/>
        <v>0</v>
      </c>
      <c r="H675" s="17"/>
    </row>
    <row r="676" spans="1:8" ht="24.75" hidden="1">
      <c r="A676" s="16" t="s">
        <v>270</v>
      </c>
      <c r="B676" s="15" t="s">
        <v>1651</v>
      </c>
      <c r="C676" s="15" t="s">
        <v>1651</v>
      </c>
      <c r="D676" s="15" t="s">
        <v>971</v>
      </c>
      <c r="E676" s="15" t="s">
        <v>271</v>
      </c>
      <c r="F676" s="18"/>
      <c r="G676" s="17">
        <f t="shared" si="34"/>
        <v>0</v>
      </c>
      <c r="H676" s="18"/>
    </row>
    <row r="677" spans="1:8" ht="24.75" hidden="1">
      <c r="A677" s="16" t="s">
        <v>109</v>
      </c>
      <c r="B677" s="15" t="s">
        <v>1651</v>
      </c>
      <c r="C677" s="15" t="s">
        <v>1651</v>
      </c>
      <c r="D677" s="15" t="s">
        <v>1119</v>
      </c>
      <c r="E677" s="15" t="s">
        <v>271</v>
      </c>
      <c r="F677" s="17">
        <f>F678</f>
        <v>0</v>
      </c>
      <c r="G677" s="17">
        <f t="shared" si="34"/>
        <v>0</v>
      </c>
      <c r="H677" s="18"/>
    </row>
    <row r="678" spans="1:8" ht="24.75" hidden="1">
      <c r="A678" s="16" t="s">
        <v>368</v>
      </c>
      <c r="B678" s="15" t="s">
        <v>1651</v>
      </c>
      <c r="C678" s="15" t="s">
        <v>1651</v>
      </c>
      <c r="D678" s="15" t="s">
        <v>1559</v>
      </c>
      <c r="E678" s="15" t="s">
        <v>180</v>
      </c>
      <c r="F678" s="17">
        <f>F679</f>
        <v>0</v>
      </c>
      <c r="G678" s="17">
        <f t="shared" si="34"/>
        <v>0</v>
      </c>
      <c r="H678" s="17"/>
    </row>
    <row r="679" spans="1:8" ht="24.75" hidden="1">
      <c r="A679" s="16" t="s">
        <v>181</v>
      </c>
      <c r="B679" s="15" t="s">
        <v>1651</v>
      </c>
      <c r="C679" s="15" t="s">
        <v>1651</v>
      </c>
      <c r="D679" s="15" t="s">
        <v>1119</v>
      </c>
      <c r="E679" s="15" t="s">
        <v>180</v>
      </c>
      <c r="F679" s="18">
        <f>10000-10000</f>
        <v>0</v>
      </c>
      <c r="G679" s="17">
        <f t="shared" si="34"/>
        <v>0</v>
      </c>
      <c r="H679" s="17"/>
    </row>
    <row r="680" spans="1:8" ht="24.75" hidden="1">
      <c r="A680" s="16" t="s">
        <v>396</v>
      </c>
      <c r="B680" s="15" t="s">
        <v>1651</v>
      </c>
      <c r="C680" s="15" t="s">
        <v>1651</v>
      </c>
      <c r="D680" s="15" t="s">
        <v>971</v>
      </c>
      <c r="E680" s="15" t="s">
        <v>1433</v>
      </c>
      <c r="F680" s="18"/>
      <c r="G680" s="17">
        <f t="shared" si="34"/>
        <v>0</v>
      </c>
      <c r="H680" s="17"/>
    </row>
    <row r="681" spans="1:8" ht="24.75" hidden="1">
      <c r="A681" s="16" t="s">
        <v>110</v>
      </c>
      <c r="B681" s="15" t="s">
        <v>1651</v>
      </c>
      <c r="C681" s="15" t="s">
        <v>1651</v>
      </c>
      <c r="D681" s="15" t="s">
        <v>1119</v>
      </c>
      <c r="E681" s="15" t="s">
        <v>1433</v>
      </c>
      <c r="F681" s="18">
        <f>F682</f>
        <v>0</v>
      </c>
      <c r="G681" s="17">
        <f t="shared" si="34"/>
        <v>0</v>
      </c>
      <c r="H681" s="17"/>
    </row>
    <row r="682" spans="1:8" ht="24.75" hidden="1">
      <c r="A682" s="16" t="s">
        <v>111</v>
      </c>
      <c r="B682" s="15" t="s">
        <v>1651</v>
      </c>
      <c r="C682" s="15" t="s">
        <v>1651</v>
      </c>
      <c r="D682" s="15" t="s">
        <v>1119</v>
      </c>
      <c r="E682" s="15" t="s">
        <v>1196</v>
      </c>
      <c r="F682" s="18">
        <f>F683</f>
        <v>0</v>
      </c>
      <c r="G682" s="17">
        <f t="shared" si="34"/>
        <v>0</v>
      </c>
      <c r="H682" s="17"/>
    </row>
    <row r="683" spans="1:8" ht="24.75" hidden="1">
      <c r="A683" s="16" t="s">
        <v>181</v>
      </c>
      <c r="B683" s="15" t="s">
        <v>1651</v>
      </c>
      <c r="C683" s="15" t="s">
        <v>1651</v>
      </c>
      <c r="D683" s="15" t="s">
        <v>1119</v>
      </c>
      <c r="E683" s="15" t="s">
        <v>1196</v>
      </c>
      <c r="F683" s="18"/>
      <c r="G683" s="17">
        <f t="shared" si="34"/>
        <v>0</v>
      </c>
      <c r="H683" s="17"/>
    </row>
    <row r="684" spans="1:8" ht="24">
      <c r="A684" s="31" t="s">
        <v>1148</v>
      </c>
      <c r="B684" s="15" t="s">
        <v>1651</v>
      </c>
      <c r="C684" s="15" t="s">
        <v>1651</v>
      </c>
      <c r="D684" s="15" t="s">
        <v>1149</v>
      </c>
      <c r="E684" s="15"/>
      <c r="F684" s="17">
        <f>F685+F688</f>
        <v>4893</v>
      </c>
      <c r="G684" s="17">
        <f t="shared" si="34"/>
        <v>4893</v>
      </c>
      <c r="H684" s="17"/>
    </row>
    <row r="685" spans="1:8" ht="48">
      <c r="A685" s="35" t="s">
        <v>145</v>
      </c>
      <c r="B685" s="15" t="s">
        <v>1651</v>
      </c>
      <c r="C685" s="15" t="s">
        <v>1651</v>
      </c>
      <c r="D685" s="15" t="s">
        <v>143</v>
      </c>
      <c r="E685" s="15" t="s">
        <v>575</v>
      </c>
      <c r="F685" s="17">
        <f>F686</f>
        <v>1000</v>
      </c>
      <c r="G685" s="17">
        <f t="shared" si="34"/>
        <v>1000</v>
      </c>
      <c r="H685" s="17"/>
    </row>
    <row r="686" spans="1:8" ht="36">
      <c r="A686" s="35" t="s">
        <v>352</v>
      </c>
      <c r="B686" s="15" t="s">
        <v>1651</v>
      </c>
      <c r="C686" s="15" t="s">
        <v>1651</v>
      </c>
      <c r="D686" s="15" t="s">
        <v>353</v>
      </c>
      <c r="E686" s="15" t="s">
        <v>575</v>
      </c>
      <c r="F686" s="17">
        <f>F687</f>
        <v>1000</v>
      </c>
      <c r="G686" s="17">
        <f t="shared" si="34"/>
        <v>1000</v>
      </c>
      <c r="H686" s="17"/>
    </row>
    <row r="687" spans="1:8" ht="24">
      <c r="A687" s="16" t="s">
        <v>1989</v>
      </c>
      <c r="B687" s="15" t="s">
        <v>1651</v>
      </c>
      <c r="C687" s="15" t="s">
        <v>1651</v>
      </c>
      <c r="D687" s="15" t="s">
        <v>353</v>
      </c>
      <c r="E687" s="15" t="s">
        <v>180</v>
      </c>
      <c r="F687" s="18">
        <v>1000</v>
      </c>
      <c r="G687" s="17">
        <f t="shared" si="34"/>
        <v>1000</v>
      </c>
      <c r="H687" s="17"/>
    </row>
    <row r="688" spans="1:8" ht="36">
      <c r="A688" s="16" t="s">
        <v>607</v>
      </c>
      <c r="B688" s="15" t="s">
        <v>1651</v>
      </c>
      <c r="C688" s="15" t="s">
        <v>1651</v>
      </c>
      <c r="D688" s="15" t="s">
        <v>608</v>
      </c>
      <c r="E688" s="15"/>
      <c r="F688" s="17">
        <f>F689</f>
        <v>3893</v>
      </c>
      <c r="G688" s="17">
        <f t="shared" si="34"/>
        <v>3893</v>
      </c>
      <c r="H688" s="17"/>
    </row>
    <row r="689" spans="1:8" ht="36">
      <c r="A689" s="16" t="s">
        <v>609</v>
      </c>
      <c r="B689" s="15" t="s">
        <v>1651</v>
      </c>
      <c r="C689" s="15" t="s">
        <v>1651</v>
      </c>
      <c r="D689" s="15" t="s">
        <v>610</v>
      </c>
      <c r="E689" s="15" t="s">
        <v>575</v>
      </c>
      <c r="F689" s="17">
        <f>F690</f>
        <v>3893</v>
      </c>
      <c r="G689" s="17">
        <f t="shared" si="34"/>
        <v>3893</v>
      </c>
      <c r="H689" s="17"/>
    </row>
    <row r="690" spans="1:8" ht="24">
      <c r="A690" s="16" t="s">
        <v>270</v>
      </c>
      <c r="B690" s="15" t="s">
        <v>1651</v>
      </c>
      <c r="C690" s="15" t="s">
        <v>1651</v>
      </c>
      <c r="D690" s="15" t="s">
        <v>610</v>
      </c>
      <c r="E690" s="15" t="s">
        <v>271</v>
      </c>
      <c r="F690" s="17">
        <f>F691</f>
        <v>3893</v>
      </c>
      <c r="G690" s="17">
        <f t="shared" si="34"/>
        <v>3893</v>
      </c>
      <c r="H690" s="17"/>
    </row>
    <row r="691" spans="1:8" ht="24">
      <c r="A691" s="16" t="s">
        <v>269</v>
      </c>
      <c r="B691" s="15" t="s">
        <v>1651</v>
      </c>
      <c r="C691" s="15" t="s">
        <v>1651</v>
      </c>
      <c r="D691" s="15" t="s">
        <v>610</v>
      </c>
      <c r="E691" s="15" t="s">
        <v>570</v>
      </c>
      <c r="F691" s="18">
        <v>3893</v>
      </c>
      <c r="G691" s="17">
        <f t="shared" si="34"/>
        <v>3893</v>
      </c>
      <c r="H691" s="17"/>
    </row>
    <row r="692" spans="1:8" ht="24">
      <c r="A692" s="31" t="s">
        <v>1664</v>
      </c>
      <c r="B692" s="15" t="s">
        <v>1651</v>
      </c>
      <c r="C692" s="15" t="s">
        <v>1651</v>
      </c>
      <c r="D692" s="15" t="s">
        <v>1663</v>
      </c>
      <c r="E692" s="15"/>
      <c r="F692" s="17">
        <f>F693+F703</f>
        <v>41645.5</v>
      </c>
      <c r="G692" s="17">
        <f>G693+G703</f>
        <v>41645.5</v>
      </c>
      <c r="H692" s="18"/>
    </row>
    <row r="693" spans="1:8" ht="48">
      <c r="A693" s="27" t="s">
        <v>343</v>
      </c>
      <c r="B693" s="15" t="s">
        <v>1651</v>
      </c>
      <c r="C693" s="15" t="s">
        <v>1651</v>
      </c>
      <c r="D693" s="15" t="s">
        <v>1900</v>
      </c>
      <c r="E693" s="15" t="s">
        <v>575</v>
      </c>
      <c r="F693" s="17">
        <f>F694+F695+F696+F700</f>
        <v>18350</v>
      </c>
      <c r="G693" s="17">
        <f aca="true" t="shared" si="35" ref="G693:G711">F693-H693</f>
        <v>18350</v>
      </c>
      <c r="H693" s="18"/>
    </row>
    <row r="694" spans="1:8" ht="24">
      <c r="A694" s="155" t="s">
        <v>1535</v>
      </c>
      <c r="B694" s="15" t="s">
        <v>1651</v>
      </c>
      <c r="C694" s="15" t="s">
        <v>1651</v>
      </c>
      <c r="D694" s="15" t="s">
        <v>1900</v>
      </c>
      <c r="E694" s="15" t="s">
        <v>1536</v>
      </c>
      <c r="F694" s="18">
        <f>150-117.8</f>
        <v>32.2</v>
      </c>
      <c r="G694" s="17">
        <f t="shared" si="35"/>
        <v>32.2</v>
      </c>
      <c r="H694" s="18"/>
    </row>
    <row r="695" spans="1:8" ht="36">
      <c r="A695" s="35" t="s">
        <v>843</v>
      </c>
      <c r="B695" s="15" t="s">
        <v>1651</v>
      </c>
      <c r="C695" s="15" t="s">
        <v>1651</v>
      </c>
      <c r="D695" s="15" t="s">
        <v>1900</v>
      </c>
      <c r="E695" s="15" t="s">
        <v>844</v>
      </c>
      <c r="F695" s="18">
        <f>1300+309.5</f>
        <v>1609.5</v>
      </c>
      <c r="G695" s="17">
        <f t="shared" si="35"/>
        <v>1609.5</v>
      </c>
      <c r="H695" s="18"/>
    </row>
    <row r="696" spans="1:8" ht="24">
      <c r="A696" s="16" t="s">
        <v>270</v>
      </c>
      <c r="B696" s="15" t="s">
        <v>1651</v>
      </c>
      <c r="C696" s="15" t="s">
        <v>1651</v>
      </c>
      <c r="D696" s="15" t="s">
        <v>1900</v>
      </c>
      <c r="E696" s="15" t="s">
        <v>271</v>
      </c>
      <c r="F696" s="17">
        <f>F697+F698</f>
        <v>2119.1</v>
      </c>
      <c r="G696" s="17">
        <f t="shared" si="35"/>
        <v>2119.1</v>
      </c>
      <c r="H696" s="18"/>
    </row>
    <row r="697" spans="1:8" ht="24.75" hidden="1">
      <c r="A697" s="16" t="s">
        <v>269</v>
      </c>
      <c r="B697" s="15" t="s">
        <v>1651</v>
      </c>
      <c r="C697" s="15" t="s">
        <v>1651</v>
      </c>
      <c r="D697" s="15" t="s">
        <v>1900</v>
      </c>
      <c r="E697" s="15" t="s">
        <v>570</v>
      </c>
      <c r="F697" s="17"/>
      <c r="G697" s="17">
        <f t="shared" si="35"/>
        <v>0</v>
      </c>
      <c r="H697" s="18"/>
    </row>
    <row r="698" spans="1:8" ht="24">
      <c r="A698" s="16" t="s">
        <v>1997</v>
      </c>
      <c r="B698" s="15" t="s">
        <v>1651</v>
      </c>
      <c r="C698" s="15" t="s">
        <v>1651</v>
      </c>
      <c r="D698" s="15" t="s">
        <v>1900</v>
      </c>
      <c r="E698" s="15" t="s">
        <v>180</v>
      </c>
      <c r="F698" s="17">
        <f>F699</f>
        <v>2119.1</v>
      </c>
      <c r="G698" s="17">
        <f t="shared" si="35"/>
        <v>2119.1</v>
      </c>
      <c r="H698" s="18"/>
    </row>
    <row r="699" spans="1:8" ht="36">
      <c r="A699" s="16" t="s">
        <v>344</v>
      </c>
      <c r="B699" s="15" t="s">
        <v>1651</v>
      </c>
      <c r="C699" s="15" t="s">
        <v>1651</v>
      </c>
      <c r="D699" s="15" t="s">
        <v>1900</v>
      </c>
      <c r="E699" s="15" t="s">
        <v>180</v>
      </c>
      <c r="F699" s="18">
        <f>600+17590-15990-80.9</f>
        <v>2119.1</v>
      </c>
      <c r="G699" s="17">
        <f t="shared" si="35"/>
        <v>2119.1</v>
      </c>
      <c r="H699" s="18"/>
    </row>
    <row r="700" spans="1:8" ht="24">
      <c r="A700" s="16" t="s">
        <v>396</v>
      </c>
      <c r="B700" s="15" t="s">
        <v>1651</v>
      </c>
      <c r="C700" s="15" t="s">
        <v>1651</v>
      </c>
      <c r="D700" s="15" t="s">
        <v>1900</v>
      </c>
      <c r="E700" s="15" t="s">
        <v>1433</v>
      </c>
      <c r="F700" s="17">
        <f>F701</f>
        <v>14589.2</v>
      </c>
      <c r="G700" s="17">
        <f t="shared" si="35"/>
        <v>14589.2</v>
      </c>
      <c r="H700" s="18"/>
    </row>
    <row r="701" spans="1:8" ht="24">
      <c r="A701" s="16" t="s">
        <v>1027</v>
      </c>
      <c r="B701" s="15" t="s">
        <v>1651</v>
      </c>
      <c r="C701" s="15" t="s">
        <v>1651</v>
      </c>
      <c r="D701" s="15" t="s">
        <v>1900</v>
      </c>
      <c r="E701" s="15" t="s">
        <v>1196</v>
      </c>
      <c r="F701" s="17">
        <f>F702</f>
        <v>14589.2</v>
      </c>
      <c r="G701" s="17">
        <f t="shared" si="35"/>
        <v>14589.2</v>
      </c>
      <c r="H701" s="18"/>
    </row>
    <row r="702" spans="1:8" ht="36">
      <c r="A702" s="16" t="s">
        <v>345</v>
      </c>
      <c r="B702" s="15" t="s">
        <v>1651</v>
      </c>
      <c r="C702" s="15" t="s">
        <v>1651</v>
      </c>
      <c r="D702" s="15" t="s">
        <v>1900</v>
      </c>
      <c r="E702" s="15" t="s">
        <v>1196</v>
      </c>
      <c r="F702" s="18">
        <f>160+14540-110.8</f>
        <v>14589.2</v>
      </c>
      <c r="G702" s="17">
        <f t="shared" si="35"/>
        <v>14589.2</v>
      </c>
      <c r="H702" s="18"/>
    </row>
    <row r="703" spans="1:8" ht="24">
      <c r="A703" s="16" t="s">
        <v>346</v>
      </c>
      <c r="B703" s="15" t="s">
        <v>1651</v>
      </c>
      <c r="C703" s="15" t="s">
        <v>1651</v>
      </c>
      <c r="D703" s="15" t="s">
        <v>136</v>
      </c>
      <c r="E703" s="15" t="s">
        <v>575</v>
      </c>
      <c r="F703" s="17">
        <f>F704</f>
        <v>23295.5</v>
      </c>
      <c r="G703" s="17">
        <f t="shared" si="35"/>
        <v>23295.5</v>
      </c>
      <c r="H703" s="18"/>
    </row>
    <row r="704" spans="1:8" ht="24">
      <c r="A704" s="16" t="s">
        <v>270</v>
      </c>
      <c r="B704" s="15" t="s">
        <v>1651</v>
      </c>
      <c r="C704" s="15" t="s">
        <v>1651</v>
      </c>
      <c r="D704" s="15" t="s">
        <v>136</v>
      </c>
      <c r="E704" s="15" t="s">
        <v>271</v>
      </c>
      <c r="F704" s="17">
        <f>F705+F706</f>
        <v>23295.5</v>
      </c>
      <c r="G704" s="17">
        <f t="shared" si="35"/>
        <v>23295.5</v>
      </c>
      <c r="H704" s="18"/>
    </row>
    <row r="705" spans="1:8" ht="24">
      <c r="A705" s="16" t="s">
        <v>269</v>
      </c>
      <c r="B705" s="15" t="s">
        <v>1651</v>
      </c>
      <c r="C705" s="15" t="s">
        <v>1651</v>
      </c>
      <c r="D705" s="15" t="s">
        <v>136</v>
      </c>
      <c r="E705" s="15" t="s">
        <v>570</v>
      </c>
      <c r="F705" s="18">
        <f>23142+189.5-3893</f>
        <v>19438.5</v>
      </c>
      <c r="G705" s="17">
        <f t="shared" si="35"/>
        <v>19438.5</v>
      </c>
      <c r="H705" s="18"/>
    </row>
    <row r="706" spans="1:8" ht="24">
      <c r="A706" s="16" t="s">
        <v>1997</v>
      </c>
      <c r="B706" s="15" t="s">
        <v>1651</v>
      </c>
      <c r="C706" s="15" t="s">
        <v>1651</v>
      </c>
      <c r="D706" s="15" t="s">
        <v>136</v>
      </c>
      <c r="E706" s="15" t="s">
        <v>180</v>
      </c>
      <c r="F706" s="17">
        <f>F707+F708+F709+F710+F711</f>
        <v>3857</v>
      </c>
      <c r="G706" s="17">
        <f t="shared" si="35"/>
        <v>3857</v>
      </c>
      <c r="H706" s="18"/>
    </row>
    <row r="707" spans="1:8" ht="36">
      <c r="A707" s="16" t="s">
        <v>347</v>
      </c>
      <c r="B707" s="15" t="s">
        <v>1651</v>
      </c>
      <c r="C707" s="15" t="s">
        <v>1651</v>
      </c>
      <c r="D707" s="15" t="s">
        <v>136</v>
      </c>
      <c r="E707" s="15" t="s">
        <v>180</v>
      </c>
      <c r="F707" s="18">
        <f>2500+120+167+300</f>
        <v>3087</v>
      </c>
      <c r="G707" s="17">
        <f t="shared" si="35"/>
        <v>3087</v>
      </c>
      <c r="H707" s="18"/>
    </row>
    <row r="708" spans="1:8" ht="24">
      <c r="A708" s="16" t="s">
        <v>1998</v>
      </c>
      <c r="B708" s="15" t="s">
        <v>1651</v>
      </c>
      <c r="C708" s="15" t="s">
        <v>1651</v>
      </c>
      <c r="D708" s="15" t="s">
        <v>136</v>
      </c>
      <c r="E708" s="15" t="s">
        <v>180</v>
      </c>
      <c r="F708" s="18">
        <v>100</v>
      </c>
      <c r="G708" s="17">
        <f t="shared" si="35"/>
        <v>100</v>
      </c>
      <c r="H708" s="18"/>
    </row>
    <row r="709" spans="1:8" ht="24">
      <c r="A709" s="16" t="s">
        <v>1475</v>
      </c>
      <c r="B709" s="15" t="s">
        <v>1651</v>
      </c>
      <c r="C709" s="15" t="s">
        <v>1651</v>
      </c>
      <c r="D709" s="15" t="s">
        <v>136</v>
      </c>
      <c r="E709" s="15" t="s">
        <v>180</v>
      </c>
      <c r="F709" s="18">
        <v>156</v>
      </c>
      <c r="G709" s="17">
        <f t="shared" si="35"/>
        <v>156</v>
      </c>
      <c r="H709" s="18"/>
    </row>
    <row r="710" spans="1:8" ht="36">
      <c r="A710" s="16" t="s">
        <v>675</v>
      </c>
      <c r="B710" s="15" t="s">
        <v>1651</v>
      </c>
      <c r="C710" s="15" t="s">
        <v>1651</v>
      </c>
      <c r="D710" s="15" t="s">
        <v>136</v>
      </c>
      <c r="E710" s="15" t="s">
        <v>180</v>
      </c>
      <c r="F710" s="18">
        <v>214</v>
      </c>
      <c r="G710" s="17">
        <f t="shared" si="35"/>
        <v>214</v>
      </c>
      <c r="H710" s="18"/>
    </row>
    <row r="711" spans="1:8" ht="24">
      <c r="A711" s="16" t="s">
        <v>676</v>
      </c>
      <c r="B711" s="15" t="s">
        <v>1651</v>
      </c>
      <c r="C711" s="15" t="s">
        <v>1651</v>
      </c>
      <c r="D711" s="15" t="s">
        <v>136</v>
      </c>
      <c r="E711" s="15" t="s">
        <v>180</v>
      </c>
      <c r="F711" s="18">
        <v>300</v>
      </c>
      <c r="G711" s="17">
        <f t="shared" si="35"/>
        <v>300</v>
      </c>
      <c r="H711" s="18"/>
    </row>
    <row r="712" spans="1:12" ht="24">
      <c r="A712" s="40" t="s">
        <v>2005</v>
      </c>
      <c r="B712" s="15" t="s">
        <v>1651</v>
      </c>
      <c r="C712" s="15" t="s">
        <v>1652</v>
      </c>
      <c r="D712" s="15"/>
      <c r="E712" s="15"/>
      <c r="F712" s="17">
        <f>F713+F721+F726+F729+F723+F738+F758+F770</f>
        <v>129465.20000000001</v>
      </c>
      <c r="G712" s="17">
        <f>G713+G721+G726+G729+G723+G738+G758+G770</f>
        <v>108553.20000000001</v>
      </c>
      <c r="H712" s="17">
        <f>H713+H721+H726+H729+H723+H738+H758+H770</f>
        <v>20912</v>
      </c>
      <c r="I712" s="78"/>
      <c r="J712" s="79"/>
      <c r="K712" s="78"/>
      <c r="L712" s="78"/>
    </row>
    <row r="713" spans="1:8" ht="48">
      <c r="A713" s="30" t="s">
        <v>1542</v>
      </c>
      <c r="B713" s="15" t="s">
        <v>1651</v>
      </c>
      <c r="C713" s="15" t="s">
        <v>1652</v>
      </c>
      <c r="D713" s="15" t="s">
        <v>1543</v>
      </c>
      <c r="E713" s="15"/>
      <c r="F713" s="17">
        <f>F714+F719</f>
        <v>30884.8</v>
      </c>
      <c r="G713" s="17">
        <f>G714+G719</f>
        <v>30884.8</v>
      </c>
      <c r="H713" s="17">
        <f>H714</f>
        <v>0</v>
      </c>
    </row>
    <row r="714" spans="1:8" ht="24">
      <c r="A714" s="16" t="s">
        <v>500</v>
      </c>
      <c r="B714" s="15" t="s">
        <v>1651</v>
      </c>
      <c r="C714" s="15" t="s">
        <v>1652</v>
      </c>
      <c r="D714" s="15" t="s">
        <v>229</v>
      </c>
      <c r="E714" s="15" t="s">
        <v>575</v>
      </c>
      <c r="F714" s="17">
        <f>F715+F716</f>
        <v>30831.8</v>
      </c>
      <c r="G714" s="17">
        <f aca="true" t="shared" si="36" ref="G714:G732">F714-H714</f>
        <v>30831.8</v>
      </c>
      <c r="H714" s="17">
        <f>H721</f>
        <v>0</v>
      </c>
    </row>
    <row r="715" spans="1:8" ht="24">
      <c r="A715" s="155" t="s">
        <v>382</v>
      </c>
      <c r="B715" s="15" t="s">
        <v>1651</v>
      </c>
      <c r="C715" s="15" t="s">
        <v>1652</v>
      </c>
      <c r="D715" s="15" t="s">
        <v>229</v>
      </c>
      <c r="E715" s="15" t="s">
        <v>383</v>
      </c>
      <c r="F715" s="18">
        <v>26380.3</v>
      </c>
      <c r="G715" s="17">
        <f t="shared" si="36"/>
        <v>26380.3</v>
      </c>
      <c r="H715" s="17"/>
    </row>
    <row r="716" spans="1:8" ht="24">
      <c r="A716" s="155" t="s">
        <v>172</v>
      </c>
      <c r="B716" s="15" t="s">
        <v>1651</v>
      </c>
      <c r="C716" s="15" t="s">
        <v>1652</v>
      </c>
      <c r="D716" s="15" t="s">
        <v>229</v>
      </c>
      <c r="E716" s="15" t="s">
        <v>1644</v>
      </c>
      <c r="F716" s="17">
        <f>F717+F718</f>
        <v>4451.5</v>
      </c>
      <c r="G716" s="17">
        <f t="shared" si="36"/>
        <v>4451.5</v>
      </c>
      <c r="H716" s="17"/>
    </row>
    <row r="717" spans="1:8" ht="36">
      <c r="A717" s="155" t="s">
        <v>848</v>
      </c>
      <c r="B717" s="15" t="s">
        <v>1651</v>
      </c>
      <c r="C717" s="15" t="s">
        <v>1652</v>
      </c>
      <c r="D717" s="15" t="s">
        <v>229</v>
      </c>
      <c r="E717" s="15" t="s">
        <v>846</v>
      </c>
      <c r="F717" s="18">
        <f>700+21</f>
        <v>721</v>
      </c>
      <c r="G717" s="17">
        <f t="shared" si="36"/>
        <v>721</v>
      </c>
      <c r="H717" s="17"/>
    </row>
    <row r="718" spans="1:8" ht="24">
      <c r="A718" s="155" t="s">
        <v>1535</v>
      </c>
      <c r="B718" s="15" t="s">
        <v>1651</v>
      </c>
      <c r="C718" s="15" t="s">
        <v>1652</v>
      </c>
      <c r="D718" s="15" t="s">
        <v>229</v>
      </c>
      <c r="E718" s="15" t="s">
        <v>1536</v>
      </c>
      <c r="F718" s="18">
        <f>3730.5</f>
        <v>3730.5</v>
      </c>
      <c r="G718" s="17">
        <f t="shared" si="36"/>
        <v>3730.5</v>
      </c>
      <c r="H718" s="17"/>
    </row>
    <row r="719" spans="1:8" ht="24">
      <c r="A719" s="156" t="s">
        <v>1665</v>
      </c>
      <c r="B719" s="15" t="s">
        <v>1651</v>
      </c>
      <c r="C719" s="15" t="s">
        <v>1652</v>
      </c>
      <c r="D719" s="15" t="s">
        <v>1635</v>
      </c>
      <c r="E719" s="15" t="s">
        <v>575</v>
      </c>
      <c r="F719" s="17">
        <f>F720</f>
        <v>53</v>
      </c>
      <c r="G719" s="17">
        <f t="shared" si="36"/>
        <v>53</v>
      </c>
      <c r="H719" s="17"/>
    </row>
    <row r="720" spans="1:8" ht="24">
      <c r="A720" s="156" t="s">
        <v>1665</v>
      </c>
      <c r="B720" s="15" t="s">
        <v>1651</v>
      </c>
      <c r="C720" s="15" t="s">
        <v>1652</v>
      </c>
      <c r="D720" s="15" t="s">
        <v>1635</v>
      </c>
      <c r="E720" s="15" t="s">
        <v>1066</v>
      </c>
      <c r="F720" s="18">
        <v>53</v>
      </c>
      <c r="G720" s="17">
        <f t="shared" si="36"/>
        <v>53</v>
      </c>
      <c r="H720" s="17"/>
    </row>
    <row r="721" spans="1:8" ht="24" hidden="1">
      <c r="A721" s="30" t="s">
        <v>101</v>
      </c>
      <c r="B721" s="15" t="s">
        <v>1651</v>
      </c>
      <c r="C721" s="15" t="s">
        <v>1652</v>
      </c>
      <c r="D721" s="15" t="s">
        <v>102</v>
      </c>
      <c r="E721" s="15"/>
      <c r="F721" s="17">
        <f>F722</f>
        <v>0</v>
      </c>
      <c r="G721" s="17">
        <f t="shared" si="36"/>
        <v>0</v>
      </c>
      <c r="H721" s="17">
        <f>H722</f>
        <v>0</v>
      </c>
    </row>
    <row r="722" spans="1:8" ht="24.75" hidden="1">
      <c r="A722" s="16" t="s">
        <v>459</v>
      </c>
      <c r="B722" s="15" t="s">
        <v>1651</v>
      </c>
      <c r="C722" s="15" t="s">
        <v>1652</v>
      </c>
      <c r="D722" s="15" t="s">
        <v>102</v>
      </c>
      <c r="E722" s="15" t="s">
        <v>460</v>
      </c>
      <c r="F722" s="18"/>
      <c r="G722" s="17">
        <f t="shared" si="36"/>
        <v>0</v>
      </c>
      <c r="H722" s="18"/>
    </row>
    <row r="723" spans="1:8" ht="24">
      <c r="A723" s="30" t="s">
        <v>904</v>
      </c>
      <c r="B723" s="15" t="s">
        <v>1651</v>
      </c>
      <c r="C723" s="15" t="s">
        <v>1652</v>
      </c>
      <c r="D723" s="15" t="s">
        <v>1964</v>
      </c>
      <c r="E723" s="15"/>
      <c r="F723" s="17">
        <f>F724+F736</f>
        <v>16319</v>
      </c>
      <c r="G723" s="17">
        <f t="shared" si="36"/>
        <v>0</v>
      </c>
      <c r="H723" s="17">
        <f>H724+H736</f>
        <v>16319</v>
      </c>
    </row>
    <row r="724" spans="1:8" ht="120">
      <c r="A724" s="16" t="s">
        <v>54</v>
      </c>
      <c r="B724" s="15" t="s">
        <v>1651</v>
      </c>
      <c r="C724" s="15" t="s">
        <v>1652</v>
      </c>
      <c r="D724" s="15" t="s">
        <v>681</v>
      </c>
      <c r="E724" s="15" t="s">
        <v>575</v>
      </c>
      <c r="F724" s="17">
        <f>F725</f>
        <v>15662</v>
      </c>
      <c r="G724" s="17">
        <f t="shared" si="36"/>
        <v>0</v>
      </c>
      <c r="H724" s="17">
        <f>H725</f>
        <v>15662</v>
      </c>
    </row>
    <row r="725" spans="1:8" ht="36">
      <c r="A725" s="16" t="s">
        <v>662</v>
      </c>
      <c r="B725" s="15" t="s">
        <v>1651</v>
      </c>
      <c r="C725" s="15" t="s">
        <v>1652</v>
      </c>
      <c r="D725" s="15" t="s">
        <v>681</v>
      </c>
      <c r="E725" s="15" t="s">
        <v>663</v>
      </c>
      <c r="F725" s="18">
        <v>15662</v>
      </c>
      <c r="G725" s="17">
        <f t="shared" si="36"/>
        <v>0</v>
      </c>
      <c r="H725" s="18">
        <v>15662</v>
      </c>
    </row>
    <row r="726" spans="1:8" ht="36" hidden="1">
      <c r="A726" s="31" t="s">
        <v>112</v>
      </c>
      <c r="B726" s="15" t="s">
        <v>1651</v>
      </c>
      <c r="C726" s="15" t="s">
        <v>1652</v>
      </c>
      <c r="D726" s="15" t="s">
        <v>113</v>
      </c>
      <c r="E726" s="15"/>
      <c r="F726" s="17">
        <f>F727+F728</f>
        <v>0</v>
      </c>
      <c r="G726" s="17">
        <f>G727+G728</f>
        <v>0</v>
      </c>
      <c r="H726" s="17">
        <f>H727+H728</f>
        <v>0</v>
      </c>
    </row>
    <row r="727" spans="1:8" ht="24.75" hidden="1">
      <c r="A727" s="16" t="s">
        <v>1898</v>
      </c>
      <c r="B727" s="15" t="s">
        <v>1651</v>
      </c>
      <c r="C727" s="15" t="s">
        <v>1652</v>
      </c>
      <c r="D727" s="15" t="s">
        <v>113</v>
      </c>
      <c r="E727" s="15" t="s">
        <v>1899</v>
      </c>
      <c r="F727" s="18">
        <f>418-418</f>
        <v>0</v>
      </c>
      <c r="G727" s="17">
        <f>F727-H727</f>
        <v>0</v>
      </c>
      <c r="H727" s="18"/>
    </row>
    <row r="728" spans="1:8" ht="30.75" customHeight="1" hidden="1">
      <c r="A728" s="16" t="s">
        <v>108</v>
      </c>
      <c r="B728" s="15" t="s">
        <v>1651</v>
      </c>
      <c r="C728" s="15" t="s">
        <v>1652</v>
      </c>
      <c r="D728" s="15" t="s">
        <v>113</v>
      </c>
      <c r="E728" s="15" t="s">
        <v>30</v>
      </c>
      <c r="F728" s="18">
        <f>7931-7931</f>
        <v>0</v>
      </c>
      <c r="G728" s="17">
        <f>F728-H728</f>
        <v>0</v>
      </c>
      <c r="H728" s="18"/>
    </row>
    <row r="729" spans="1:8" ht="15.75" hidden="1">
      <c r="A729" s="30" t="s">
        <v>1554</v>
      </c>
      <c r="B729" s="15" t="s">
        <v>1651</v>
      </c>
      <c r="C729" s="15" t="s">
        <v>1652</v>
      </c>
      <c r="D729" s="15" t="s">
        <v>1555</v>
      </c>
      <c r="E729" s="15"/>
      <c r="F729" s="17">
        <f>F730+F733</f>
        <v>0</v>
      </c>
      <c r="G729" s="17">
        <f t="shared" si="36"/>
        <v>0</v>
      </c>
      <c r="H729" s="17">
        <f>H730+H733</f>
        <v>0</v>
      </c>
    </row>
    <row r="730" spans="1:8" ht="24" hidden="1">
      <c r="A730" s="30" t="s">
        <v>591</v>
      </c>
      <c r="B730" s="15" t="s">
        <v>1651</v>
      </c>
      <c r="C730" s="15" t="s">
        <v>1652</v>
      </c>
      <c r="D730" s="15" t="s">
        <v>592</v>
      </c>
      <c r="E730" s="15"/>
      <c r="F730" s="17">
        <f>F731+F732</f>
        <v>0</v>
      </c>
      <c r="G730" s="17">
        <f t="shared" si="36"/>
        <v>0</v>
      </c>
      <c r="H730" s="17">
        <f>H732</f>
        <v>0</v>
      </c>
    </row>
    <row r="731" spans="1:8" ht="24.75" hidden="1">
      <c r="A731" s="16" t="s">
        <v>359</v>
      </c>
      <c r="B731" s="15" t="s">
        <v>1651</v>
      </c>
      <c r="C731" s="15" t="s">
        <v>1652</v>
      </c>
      <c r="D731" s="15" t="s">
        <v>592</v>
      </c>
      <c r="E731" s="15" t="s">
        <v>360</v>
      </c>
      <c r="F731" s="18"/>
      <c r="G731" s="17">
        <f t="shared" si="36"/>
        <v>0</v>
      </c>
      <c r="H731" s="17"/>
    </row>
    <row r="732" spans="1:8" ht="24.75" hidden="1">
      <c r="A732" s="16" t="s">
        <v>955</v>
      </c>
      <c r="B732" s="15" t="s">
        <v>1651</v>
      </c>
      <c r="C732" s="15" t="s">
        <v>1652</v>
      </c>
      <c r="D732" s="15" t="s">
        <v>592</v>
      </c>
      <c r="E732" s="15" t="s">
        <v>956</v>
      </c>
      <c r="F732" s="18">
        <f>154-154</f>
        <v>0</v>
      </c>
      <c r="G732" s="17">
        <f t="shared" si="36"/>
        <v>0</v>
      </c>
      <c r="H732" s="18"/>
    </row>
    <row r="733" spans="1:8" ht="36" hidden="1">
      <c r="A733" s="35" t="s">
        <v>1901</v>
      </c>
      <c r="B733" s="15" t="s">
        <v>1651</v>
      </c>
      <c r="C733" s="15" t="s">
        <v>1652</v>
      </c>
      <c r="D733" s="15" t="s">
        <v>1902</v>
      </c>
      <c r="E733" s="15" t="s">
        <v>575</v>
      </c>
      <c r="F733" s="17">
        <f>F734+F735</f>
        <v>0</v>
      </c>
      <c r="G733" s="17">
        <f>G734+G735</f>
        <v>0</v>
      </c>
      <c r="H733" s="17">
        <f>H734+H735</f>
        <v>0</v>
      </c>
    </row>
    <row r="734" spans="1:8" ht="24.75" hidden="1">
      <c r="A734" s="16" t="s">
        <v>270</v>
      </c>
      <c r="B734" s="15" t="s">
        <v>1651</v>
      </c>
      <c r="C734" s="15" t="s">
        <v>1652</v>
      </c>
      <c r="D734" s="15" t="s">
        <v>1902</v>
      </c>
      <c r="E734" s="15" t="s">
        <v>271</v>
      </c>
      <c r="F734" s="18"/>
      <c r="G734" s="17">
        <f>F734-H734</f>
        <v>0</v>
      </c>
      <c r="H734" s="18">
        <v>0</v>
      </c>
    </row>
    <row r="735" spans="1:8" ht="24.75" hidden="1">
      <c r="A735" s="16" t="s">
        <v>396</v>
      </c>
      <c r="B735" s="15" t="s">
        <v>1651</v>
      </c>
      <c r="C735" s="15" t="s">
        <v>1652</v>
      </c>
      <c r="D735" s="15" t="s">
        <v>1902</v>
      </c>
      <c r="E735" s="15" t="s">
        <v>1433</v>
      </c>
      <c r="F735" s="18"/>
      <c r="G735" s="17">
        <f>F735-H735</f>
        <v>0</v>
      </c>
      <c r="H735" s="18">
        <v>0</v>
      </c>
    </row>
    <row r="736" spans="1:8" ht="72">
      <c r="A736" s="16" t="s">
        <v>129</v>
      </c>
      <c r="B736" s="15" t="s">
        <v>1651</v>
      </c>
      <c r="C736" s="15" t="s">
        <v>1652</v>
      </c>
      <c r="D736" s="15" t="s">
        <v>606</v>
      </c>
      <c r="E736" s="15" t="s">
        <v>575</v>
      </c>
      <c r="F736" s="17">
        <f>F737</f>
        <v>657</v>
      </c>
      <c r="G736" s="17">
        <f>F736-H736</f>
        <v>0</v>
      </c>
      <c r="H736" s="17">
        <f>H737</f>
        <v>657</v>
      </c>
    </row>
    <row r="737" spans="1:8" ht="36">
      <c r="A737" s="16" t="s">
        <v>662</v>
      </c>
      <c r="B737" s="15" t="s">
        <v>1651</v>
      </c>
      <c r="C737" s="15" t="s">
        <v>1652</v>
      </c>
      <c r="D737" s="15" t="s">
        <v>606</v>
      </c>
      <c r="E737" s="15" t="s">
        <v>663</v>
      </c>
      <c r="F737" s="18">
        <f>548+109+881-881</f>
        <v>657</v>
      </c>
      <c r="G737" s="17">
        <f>F737-H737</f>
        <v>0</v>
      </c>
      <c r="H737" s="18">
        <v>657</v>
      </c>
    </row>
    <row r="738" spans="1:8" ht="60">
      <c r="A738" s="36" t="s">
        <v>1887</v>
      </c>
      <c r="B738" s="15" t="s">
        <v>1651</v>
      </c>
      <c r="C738" s="15" t="s">
        <v>1652</v>
      </c>
      <c r="D738" s="15" t="s">
        <v>2006</v>
      </c>
      <c r="E738" s="15"/>
      <c r="F738" s="17">
        <f>F739+F742++F745+F751</f>
        <v>4600.1</v>
      </c>
      <c r="G738" s="17">
        <f aca="true" t="shared" si="37" ref="G738:G764">F738-H738</f>
        <v>7.100000000000364</v>
      </c>
      <c r="H738" s="17">
        <f>H739+H742++H745+H751</f>
        <v>4593</v>
      </c>
    </row>
    <row r="739" spans="1:8" ht="300">
      <c r="A739" s="35" t="s">
        <v>822</v>
      </c>
      <c r="B739" s="15" t="s">
        <v>1651</v>
      </c>
      <c r="C739" s="15" t="s">
        <v>1652</v>
      </c>
      <c r="D739" s="15" t="s">
        <v>805</v>
      </c>
      <c r="E739" s="15"/>
      <c r="F739" s="17">
        <f>F740</f>
        <v>3322</v>
      </c>
      <c r="G739" s="17">
        <f t="shared" si="37"/>
        <v>0</v>
      </c>
      <c r="H739" s="17">
        <f>H740</f>
        <v>3322</v>
      </c>
    </row>
    <row r="740" spans="1:8" ht="24">
      <c r="A740" s="16" t="s">
        <v>396</v>
      </c>
      <c r="B740" s="15" t="s">
        <v>1651</v>
      </c>
      <c r="C740" s="15" t="s">
        <v>1652</v>
      </c>
      <c r="D740" s="15" t="s">
        <v>805</v>
      </c>
      <c r="E740" s="15" t="s">
        <v>1433</v>
      </c>
      <c r="F740" s="17">
        <f>F741</f>
        <v>3322</v>
      </c>
      <c r="G740" s="17">
        <f t="shared" si="37"/>
        <v>0</v>
      </c>
      <c r="H740" s="17">
        <f>H741</f>
        <v>3322</v>
      </c>
    </row>
    <row r="741" spans="1:8" ht="24">
      <c r="A741" s="16" t="s">
        <v>395</v>
      </c>
      <c r="B741" s="15" t="s">
        <v>1651</v>
      </c>
      <c r="C741" s="15" t="s">
        <v>1652</v>
      </c>
      <c r="D741" s="15" t="s">
        <v>805</v>
      </c>
      <c r="E741" s="15" t="s">
        <v>1434</v>
      </c>
      <c r="F741" s="18">
        <v>3322</v>
      </c>
      <c r="G741" s="17">
        <f t="shared" si="37"/>
        <v>0</v>
      </c>
      <c r="H741" s="17">
        <v>3322</v>
      </c>
    </row>
    <row r="742" spans="1:8" ht="166.5" customHeight="1">
      <c r="A742" s="35" t="s">
        <v>1122</v>
      </c>
      <c r="B742" s="15" t="s">
        <v>1651</v>
      </c>
      <c r="C742" s="15" t="s">
        <v>1652</v>
      </c>
      <c r="D742" s="15" t="s">
        <v>1564</v>
      </c>
      <c r="E742" s="15" t="s">
        <v>575</v>
      </c>
      <c r="F742" s="17">
        <f>F743+F748</f>
        <v>1278.1</v>
      </c>
      <c r="G742" s="17">
        <f t="shared" si="37"/>
        <v>7.099999999999909</v>
      </c>
      <c r="H742" s="17">
        <f>H743+H748</f>
        <v>1271</v>
      </c>
    </row>
    <row r="743" spans="1:8" ht="24">
      <c r="A743" s="16" t="s">
        <v>396</v>
      </c>
      <c r="B743" s="15" t="s">
        <v>1651</v>
      </c>
      <c r="C743" s="15" t="s">
        <v>1652</v>
      </c>
      <c r="D743" s="15" t="s">
        <v>1564</v>
      </c>
      <c r="E743" s="15" t="s">
        <v>1433</v>
      </c>
      <c r="F743" s="17">
        <f>F744</f>
        <v>7.099999999999909</v>
      </c>
      <c r="G743" s="17">
        <f t="shared" si="37"/>
        <v>7.099999999999909</v>
      </c>
      <c r="H743" s="17">
        <f>H744</f>
        <v>0</v>
      </c>
    </row>
    <row r="744" spans="1:8" ht="24">
      <c r="A744" s="16" t="s">
        <v>395</v>
      </c>
      <c r="B744" s="15" t="s">
        <v>1651</v>
      </c>
      <c r="C744" s="15" t="s">
        <v>1652</v>
      </c>
      <c r="D744" s="15" t="s">
        <v>1564</v>
      </c>
      <c r="E744" s="15" t="s">
        <v>1434</v>
      </c>
      <c r="F744" s="18">
        <f>2410+7.1-2410</f>
        <v>7.099999999999909</v>
      </c>
      <c r="G744" s="17">
        <f t="shared" si="37"/>
        <v>7.099999999999909</v>
      </c>
      <c r="H744" s="18">
        <v>0</v>
      </c>
    </row>
    <row r="745" spans="1:8" ht="24.75" hidden="1">
      <c r="A745" s="35"/>
      <c r="B745" s="15" t="s">
        <v>1651</v>
      </c>
      <c r="C745" s="15" t="s">
        <v>1652</v>
      </c>
      <c r="D745" s="207" t="s">
        <v>805</v>
      </c>
      <c r="E745" s="15" t="s">
        <v>575</v>
      </c>
      <c r="F745" s="17">
        <f>F746</f>
        <v>0</v>
      </c>
      <c r="G745" s="17">
        <f t="shared" si="37"/>
        <v>0</v>
      </c>
      <c r="H745" s="17">
        <f>H746</f>
        <v>0</v>
      </c>
    </row>
    <row r="746" spans="1:8" ht="24.75" hidden="1">
      <c r="A746" s="16" t="s">
        <v>396</v>
      </c>
      <c r="B746" s="15" t="s">
        <v>1651</v>
      </c>
      <c r="C746" s="15" t="s">
        <v>1652</v>
      </c>
      <c r="D746" s="207" t="s">
        <v>805</v>
      </c>
      <c r="E746" s="15" t="s">
        <v>1433</v>
      </c>
      <c r="F746" s="17">
        <f>F747</f>
        <v>0</v>
      </c>
      <c r="G746" s="17">
        <f t="shared" si="37"/>
        <v>0</v>
      </c>
      <c r="H746" s="17">
        <f>H747</f>
        <v>0</v>
      </c>
    </row>
    <row r="747" spans="1:8" ht="24.75" hidden="1">
      <c r="A747" s="16" t="s">
        <v>395</v>
      </c>
      <c r="B747" s="15" t="s">
        <v>1651</v>
      </c>
      <c r="C747" s="15" t="s">
        <v>1652</v>
      </c>
      <c r="D747" s="207" t="s">
        <v>805</v>
      </c>
      <c r="E747" s="15" t="s">
        <v>1434</v>
      </c>
      <c r="F747" s="18">
        <v>0</v>
      </c>
      <c r="G747" s="17">
        <f t="shared" si="37"/>
        <v>0</v>
      </c>
      <c r="H747" s="18">
        <v>0</v>
      </c>
    </row>
    <row r="748" spans="1:8" ht="96">
      <c r="A748" s="62" t="s">
        <v>315</v>
      </c>
      <c r="B748" s="15" t="s">
        <v>1651</v>
      </c>
      <c r="C748" s="15" t="s">
        <v>1652</v>
      </c>
      <c r="D748" s="15" t="s">
        <v>682</v>
      </c>
      <c r="E748" s="15" t="s">
        <v>575</v>
      </c>
      <c r="F748" s="17">
        <f>F749</f>
        <v>1271</v>
      </c>
      <c r="G748" s="17">
        <f t="shared" si="37"/>
        <v>0</v>
      </c>
      <c r="H748" s="17">
        <f>H749</f>
        <v>1271</v>
      </c>
    </row>
    <row r="749" spans="1:8" ht="24">
      <c r="A749" s="16" t="s">
        <v>269</v>
      </c>
      <c r="B749" s="15" t="s">
        <v>1651</v>
      </c>
      <c r="C749" s="15" t="s">
        <v>1652</v>
      </c>
      <c r="D749" s="15" t="s">
        <v>682</v>
      </c>
      <c r="E749" s="15" t="s">
        <v>271</v>
      </c>
      <c r="F749" s="17">
        <f>F750</f>
        <v>1271</v>
      </c>
      <c r="G749" s="17">
        <f t="shared" si="37"/>
        <v>0</v>
      </c>
      <c r="H749" s="17">
        <f>H750</f>
        <v>1271</v>
      </c>
    </row>
    <row r="750" spans="1:8" ht="24">
      <c r="A750" s="16" t="s">
        <v>269</v>
      </c>
      <c r="B750" s="15" t="s">
        <v>1651</v>
      </c>
      <c r="C750" s="15" t="s">
        <v>1652</v>
      </c>
      <c r="D750" s="15" t="s">
        <v>682</v>
      </c>
      <c r="E750" s="15" t="s">
        <v>570</v>
      </c>
      <c r="F750" s="18">
        <v>1271</v>
      </c>
      <c r="G750" s="17">
        <f t="shared" si="37"/>
        <v>0</v>
      </c>
      <c r="H750" s="18">
        <v>1271</v>
      </c>
    </row>
    <row r="751" spans="1:8" ht="24.75" hidden="1">
      <c r="A751" s="16" t="s">
        <v>2002</v>
      </c>
      <c r="B751" s="15" t="s">
        <v>1651</v>
      </c>
      <c r="C751" s="15" t="s">
        <v>1652</v>
      </c>
      <c r="D751" s="15" t="s">
        <v>594</v>
      </c>
      <c r="E751" s="15" t="s">
        <v>575</v>
      </c>
      <c r="F751" s="17">
        <f>F752+F754</f>
        <v>0</v>
      </c>
      <c r="G751" s="17">
        <f t="shared" si="37"/>
        <v>0</v>
      </c>
      <c r="H751" s="17">
        <f>H752+H754</f>
        <v>0</v>
      </c>
    </row>
    <row r="752" spans="1:8" ht="24.75" hidden="1">
      <c r="A752" s="16" t="s">
        <v>270</v>
      </c>
      <c r="B752" s="15" t="s">
        <v>1651</v>
      </c>
      <c r="C752" s="15" t="s">
        <v>1652</v>
      </c>
      <c r="D752" s="15" t="s">
        <v>594</v>
      </c>
      <c r="E752" s="15" t="s">
        <v>271</v>
      </c>
      <c r="F752" s="17">
        <f>F753+F756</f>
        <v>0</v>
      </c>
      <c r="G752" s="17">
        <f t="shared" si="37"/>
        <v>0</v>
      </c>
      <c r="H752" s="17">
        <f>H753+H756</f>
        <v>0</v>
      </c>
    </row>
    <row r="753" spans="1:8" ht="22.5" customHeight="1" hidden="1">
      <c r="A753" s="16" t="s">
        <v>269</v>
      </c>
      <c r="B753" s="15" t="s">
        <v>1651</v>
      </c>
      <c r="C753" s="15" t="s">
        <v>1652</v>
      </c>
      <c r="D753" s="15" t="s">
        <v>594</v>
      </c>
      <c r="E753" s="15" t="s">
        <v>570</v>
      </c>
      <c r="F753" s="18">
        <f>49143-49143</f>
        <v>0</v>
      </c>
      <c r="G753" s="17">
        <f t="shared" si="37"/>
        <v>0</v>
      </c>
      <c r="H753" s="18"/>
    </row>
    <row r="754" spans="1:8" ht="22.5" customHeight="1" hidden="1">
      <c r="A754" s="16" t="s">
        <v>396</v>
      </c>
      <c r="B754" s="15" t="s">
        <v>1651</v>
      </c>
      <c r="C754" s="15" t="s">
        <v>1652</v>
      </c>
      <c r="D754" s="15" t="s">
        <v>594</v>
      </c>
      <c r="E754" s="15" t="s">
        <v>1433</v>
      </c>
      <c r="F754" s="17">
        <f>F755</f>
        <v>0</v>
      </c>
      <c r="G754" s="17">
        <f t="shared" si="37"/>
        <v>0</v>
      </c>
      <c r="H754" s="17">
        <f>H755</f>
        <v>0</v>
      </c>
    </row>
    <row r="755" spans="1:8" ht="22.5" customHeight="1" hidden="1">
      <c r="A755" s="16" t="s">
        <v>395</v>
      </c>
      <c r="B755" s="15" t="s">
        <v>1651</v>
      </c>
      <c r="C755" s="15" t="s">
        <v>1652</v>
      </c>
      <c r="D755" s="15" t="s">
        <v>594</v>
      </c>
      <c r="E755" s="15" t="s">
        <v>1434</v>
      </c>
      <c r="F755" s="18">
        <f>7601-7601</f>
        <v>0</v>
      </c>
      <c r="G755" s="17">
        <f t="shared" si="37"/>
        <v>0</v>
      </c>
      <c r="H755" s="18"/>
    </row>
    <row r="756" spans="1:8" ht="28.5" customHeight="1" hidden="1">
      <c r="A756" s="16" t="s">
        <v>850</v>
      </c>
      <c r="B756" s="15" t="s">
        <v>1651</v>
      </c>
      <c r="C756" s="15" t="s">
        <v>1652</v>
      </c>
      <c r="D756" s="15" t="s">
        <v>594</v>
      </c>
      <c r="E756" s="15" t="s">
        <v>180</v>
      </c>
      <c r="F756" s="17">
        <f>F757</f>
        <v>0</v>
      </c>
      <c r="G756" s="17">
        <f t="shared" si="37"/>
        <v>0</v>
      </c>
      <c r="H756" s="18"/>
    </row>
    <row r="757" spans="1:8" ht="28.5" customHeight="1" hidden="1">
      <c r="A757" s="16" t="s">
        <v>852</v>
      </c>
      <c r="B757" s="15" t="s">
        <v>1651</v>
      </c>
      <c r="C757" s="15" t="s">
        <v>1652</v>
      </c>
      <c r="D757" s="15" t="s">
        <v>851</v>
      </c>
      <c r="E757" s="15" t="s">
        <v>180</v>
      </c>
      <c r="F757" s="18">
        <v>0</v>
      </c>
      <c r="G757" s="17">
        <f t="shared" si="37"/>
        <v>0</v>
      </c>
      <c r="H757" s="18"/>
    </row>
    <row r="758" spans="1:8" ht="24">
      <c r="A758" s="159" t="s">
        <v>1148</v>
      </c>
      <c r="B758" s="15" t="s">
        <v>1651</v>
      </c>
      <c r="C758" s="15" t="s">
        <v>1652</v>
      </c>
      <c r="D758" s="15" t="s">
        <v>1149</v>
      </c>
      <c r="E758" s="15"/>
      <c r="F758" s="17">
        <f>F759+F765</f>
        <v>801.4</v>
      </c>
      <c r="G758" s="17">
        <f t="shared" si="37"/>
        <v>801.4</v>
      </c>
      <c r="H758" s="17">
        <f>H765</f>
        <v>0</v>
      </c>
    </row>
    <row r="759" spans="1:8" ht="48">
      <c r="A759" s="35" t="s">
        <v>310</v>
      </c>
      <c r="B759" s="15" t="s">
        <v>1651</v>
      </c>
      <c r="C759" s="15" t="s">
        <v>1652</v>
      </c>
      <c r="D759" s="15" t="s">
        <v>789</v>
      </c>
      <c r="E759" s="15"/>
      <c r="F759" s="17">
        <f>F760</f>
        <v>801.4</v>
      </c>
      <c r="G759" s="17">
        <f t="shared" si="37"/>
        <v>801.4</v>
      </c>
      <c r="H759" s="17"/>
    </row>
    <row r="760" spans="1:8" ht="72">
      <c r="A760" s="35" t="s">
        <v>790</v>
      </c>
      <c r="B760" s="15" t="s">
        <v>1651</v>
      </c>
      <c r="C760" s="15" t="s">
        <v>1652</v>
      </c>
      <c r="D760" s="15" t="s">
        <v>791</v>
      </c>
      <c r="E760" s="15" t="s">
        <v>575</v>
      </c>
      <c r="F760" s="17">
        <f>F761+F763</f>
        <v>801.4</v>
      </c>
      <c r="G760" s="17">
        <f t="shared" si="37"/>
        <v>801.4</v>
      </c>
      <c r="H760" s="17"/>
    </row>
    <row r="761" spans="1:8" ht="24">
      <c r="A761" s="16" t="s">
        <v>270</v>
      </c>
      <c r="B761" s="15" t="s">
        <v>1651</v>
      </c>
      <c r="C761" s="15" t="s">
        <v>1652</v>
      </c>
      <c r="D761" s="15" t="s">
        <v>791</v>
      </c>
      <c r="E761" s="15" t="s">
        <v>271</v>
      </c>
      <c r="F761" s="17">
        <f>F762</f>
        <v>665.8</v>
      </c>
      <c r="G761" s="17">
        <f t="shared" si="37"/>
        <v>665.8</v>
      </c>
      <c r="H761" s="17"/>
    </row>
    <row r="762" spans="1:8" ht="24">
      <c r="A762" s="16" t="s">
        <v>269</v>
      </c>
      <c r="B762" s="15" t="s">
        <v>1651</v>
      </c>
      <c r="C762" s="15" t="s">
        <v>1652</v>
      </c>
      <c r="D762" s="15" t="s">
        <v>791</v>
      </c>
      <c r="E762" s="15" t="s">
        <v>570</v>
      </c>
      <c r="F762" s="18">
        <v>665.8</v>
      </c>
      <c r="G762" s="17">
        <f t="shared" si="37"/>
        <v>665.8</v>
      </c>
      <c r="H762" s="17"/>
    </row>
    <row r="763" spans="1:8" ht="24">
      <c r="A763" s="16" t="s">
        <v>396</v>
      </c>
      <c r="B763" s="15" t="s">
        <v>1651</v>
      </c>
      <c r="C763" s="15" t="s">
        <v>1652</v>
      </c>
      <c r="D763" s="15" t="s">
        <v>791</v>
      </c>
      <c r="E763" s="15" t="s">
        <v>1433</v>
      </c>
      <c r="F763" s="17">
        <f>F764</f>
        <v>135.6</v>
      </c>
      <c r="G763" s="17">
        <f t="shared" si="37"/>
        <v>135.6</v>
      </c>
      <c r="H763" s="17"/>
    </row>
    <row r="764" spans="1:8" ht="24">
      <c r="A764" s="16" t="s">
        <v>395</v>
      </c>
      <c r="B764" s="15" t="s">
        <v>1651</v>
      </c>
      <c r="C764" s="15" t="s">
        <v>1652</v>
      </c>
      <c r="D764" s="15" t="s">
        <v>791</v>
      </c>
      <c r="E764" s="15" t="s">
        <v>1434</v>
      </c>
      <c r="F764" s="18">
        <v>135.6</v>
      </c>
      <c r="G764" s="17">
        <f t="shared" si="37"/>
        <v>135.6</v>
      </c>
      <c r="H764" s="17"/>
    </row>
    <row r="765" spans="1:8" ht="48" hidden="1">
      <c r="A765" s="16" t="s">
        <v>536</v>
      </c>
      <c r="B765" s="15" t="s">
        <v>1651</v>
      </c>
      <c r="C765" s="15" t="s">
        <v>1652</v>
      </c>
      <c r="D765" s="15" t="s">
        <v>1136</v>
      </c>
      <c r="E765" s="15" t="s">
        <v>575</v>
      </c>
      <c r="F765" s="17">
        <f>F766+F768</f>
        <v>0</v>
      </c>
      <c r="G765" s="17">
        <f>G766+G768</f>
        <v>0</v>
      </c>
      <c r="H765" s="17">
        <f>H766</f>
        <v>0</v>
      </c>
    </row>
    <row r="766" spans="1:8" ht="24.75" hidden="1">
      <c r="A766" s="16" t="s">
        <v>270</v>
      </c>
      <c r="B766" s="15" t="s">
        <v>1651</v>
      </c>
      <c r="C766" s="15" t="s">
        <v>1652</v>
      </c>
      <c r="D766" s="15" t="s">
        <v>1136</v>
      </c>
      <c r="E766" s="15" t="s">
        <v>271</v>
      </c>
      <c r="F766" s="17">
        <f>F767</f>
        <v>0</v>
      </c>
      <c r="G766" s="17">
        <f>F766-H766</f>
        <v>0</v>
      </c>
      <c r="H766" s="18"/>
    </row>
    <row r="767" spans="1:8" ht="24.75" hidden="1">
      <c r="A767" s="16" t="s">
        <v>269</v>
      </c>
      <c r="B767" s="15" t="s">
        <v>1651</v>
      </c>
      <c r="C767" s="15" t="s">
        <v>1652</v>
      </c>
      <c r="D767" s="15" t="s">
        <v>1136</v>
      </c>
      <c r="E767" s="15" t="s">
        <v>570</v>
      </c>
      <c r="F767" s="18">
        <v>0</v>
      </c>
      <c r="G767" s="17">
        <f>F767-H767</f>
        <v>0</v>
      </c>
      <c r="H767" s="18"/>
    </row>
    <row r="768" spans="1:8" ht="24.75" hidden="1">
      <c r="A768" s="16" t="s">
        <v>396</v>
      </c>
      <c r="B768" s="15" t="s">
        <v>1651</v>
      </c>
      <c r="C768" s="15" t="s">
        <v>1652</v>
      </c>
      <c r="D768" s="15" t="s">
        <v>1136</v>
      </c>
      <c r="E768" s="15" t="s">
        <v>1433</v>
      </c>
      <c r="F768" s="17">
        <f>F769</f>
        <v>0</v>
      </c>
      <c r="G768" s="17">
        <f>F768-H768</f>
        <v>0</v>
      </c>
      <c r="H768" s="18"/>
    </row>
    <row r="769" spans="1:8" ht="24.75" hidden="1">
      <c r="A769" s="16" t="s">
        <v>395</v>
      </c>
      <c r="B769" s="15" t="s">
        <v>1651</v>
      </c>
      <c r="C769" s="15" t="s">
        <v>1652</v>
      </c>
      <c r="D769" s="15" t="s">
        <v>1136</v>
      </c>
      <c r="E769" s="15" t="s">
        <v>1434</v>
      </c>
      <c r="F769" s="18">
        <v>0</v>
      </c>
      <c r="G769" s="17">
        <f>F769-H769</f>
        <v>0</v>
      </c>
      <c r="H769" s="18"/>
    </row>
    <row r="770" spans="1:8" ht="24">
      <c r="A770" s="31" t="s">
        <v>1664</v>
      </c>
      <c r="B770" s="15" t="s">
        <v>1651</v>
      </c>
      <c r="C770" s="15" t="s">
        <v>1652</v>
      </c>
      <c r="D770" s="15" t="s">
        <v>1663</v>
      </c>
      <c r="E770" s="15"/>
      <c r="F770" s="17">
        <f>F771+F785</f>
        <v>76859.90000000001</v>
      </c>
      <c r="G770" s="17">
        <f>G771+G785</f>
        <v>76859.90000000001</v>
      </c>
      <c r="H770" s="17">
        <f>H771</f>
        <v>0</v>
      </c>
    </row>
    <row r="771" spans="1:8" ht="36.75" customHeight="1">
      <c r="A771" s="86" t="s">
        <v>1123</v>
      </c>
      <c r="B771" s="52" t="s">
        <v>1651</v>
      </c>
      <c r="C771" s="52" t="s">
        <v>1652</v>
      </c>
      <c r="D771" s="52" t="s">
        <v>854</v>
      </c>
      <c r="E771" s="52" t="s">
        <v>575</v>
      </c>
      <c r="F771" s="17">
        <f>F772+F775</f>
        <v>76638.90000000001</v>
      </c>
      <c r="G771" s="17">
        <f>F771-H771</f>
        <v>76638.90000000001</v>
      </c>
      <c r="H771" s="18">
        <f>H776</f>
        <v>0</v>
      </c>
    </row>
    <row r="772" spans="1:8" ht="20.25" customHeight="1">
      <c r="A772" s="30" t="s">
        <v>1554</v>
      </c>
      <c r="B772" s="52" t="s">
        <v>1651</v>
      </c>
      <c r="C772" s="52" t="s">
        <v>1652</v>
      </c>
      <c r="D772" s="52" t="s">
        <v>854</v>
      </c>
      <c r="E772" s="52" t="s">
        <v>575</v>
      </c>
      <c r="F772" s="17">
        <f>F773</f>
        <v>7158.6</v>
      </c>
      <c r="G772" s="17">
        <f>F772-H772</f>
        <v>7158.6</v>
      </c>
      <c r="H772" s="18"/>
    </row>
    <row r="773" spans="1:8" ht="27" customHeight="1">
      <c r="A773" s="155" t="s">
        <v>172</v>
      </c>
      <c r="B773" s="52" t="s">
        <v>1651</v>
      </c>
      <c r="C773" s="52" t="s">
        <v>1652</v>
      </c>
      <c r="D773" s="52" t="s">
        <v>854</v>
      </c>
      <c r="E773" s="52" t="s">
        <v>1644</v>
      </c>
      <c r="F773" s="17">
        <f>F774</f>
        <v>7158.6</v>
      </c>
      <c r="G773" s="17">
        <f>F773-H773</f>
        <v>7158.6</v>
      </c>
      <c r="H773" s="18"/>
    </row>
    <row r="774" spans="1:8" ht="26.25" customHeight="1">
      <c r="A774" s="155" t="s">
        <v>1535</v>
      </c>
      <c r="B774" s="52" t="s">
        <v>1651</v>
      </c>
      <c r="C774" s="52" t="s">
        <v>1652</v>
      </c>
      <c r="D774" s="52" t="s">
        <v>854</v>
      </c>
      <c r="E774" s="52" t="s">
        <v>1536</v>
      </c>
      <c r="F774" s="18">
        <f>3000+400+906.6+2410+442</f>
        <v>7158.6</v>
      </c>
      <c r="G774" s="17">
        <f>F774-H774</f>
        <v>7158.6</v>
      </c>
      <c r="H774" s="18"/>
    </row>
    <row r="775" spans="1:8" ht="53.25" customHeight="1">
      <c r="A775" s="16" t="s">
        <v>974</v>
      </c>
      <c r="B775" s="52" t="s">
        <v>1651</v>
      </c>
      <c r="C775" s="52" t="s">
        <v>1652</v>
      </c>
      <c r="D775" s="52" t="s">
        <v>701</v>
      </c>
      <c r="E775" s="52" t="s">
        <v>575</v>
      </c>
      <c r="F775" s="17">
        <f>F776+F780</f>
        <v>69480.3</v>
      </c>
      <c r="G775" s="17">
        <f>F775-H775</f>
        <v>69480.3</v>
      </c>
      <c r="H775" s="18"/>
    </row>
    <row r="776" spans="1:8" ht="24">
      <c r="A776" s="16" t="s">
        <v>270</v>
      </c>
      <c r="B776" s="52" t="s">
        <v>1651</v>
      </c>
      <c r="C776" s="52" t="s">
        <v>1652</v>
      </c>
      <c r="D776" s="52" t="s">
        <v>701</v>
      </c>
      <c r="E776" s="52" t="s">
        <v>271</v>
      </c>
      <c r="F776" s="17">
        <f>F777+F778</f>
        <v>58051.8</v>
      </c>
      <c r="G776" s="17">
        <f aca="true" t="shared" si="38" ref="G776:G792">F776-H776</f>
        <v>58051.8</v>
      </c>
      <c r="H776" s="18"/>
    </row>
    <row r="777" spans="1:8" ht="24">
      <c r="A777" s="16" t="s">
        <v>269</v>
      </c>
      <c r="B777" s="52" t="s">
        <v>1651</v>
      </c>
      <c r="C777" s="52" t="s">
        <v>1652</v>
      </c>
      <c r="D777" s="52" t="s">
        <v>701</v>
      </c>
      <c r="E777" s="52" t="s">
        <v>570</v>
      </c>
      <c r="F777" s="18">
        <f>7693-5280+500+49143+665.8</f>
        <v>52721.8</v>
      </c>
      <c r="G777" s="17">
        <f t="shared" si="38"/>
        <v>52721.8</v>
      </c>
      <c r="H777" s="18"/>
    </row>
    <row r="778" spans="1:8" ht="24">
      <c r="A778" s="16" t="s">
        <v>1997</v>
      </c>
      <c r="B778" s="52" t="s">
        <v>1651</v>
      </c>
      <c r="C778" s="52" t="s">
        <v>1652</v>
      </c>
      <c r="D778" s="52" t="s">
        <v>701</v>
      </c>
      <c r="E778" s="52" t="s">
        <v>180</v>
      </c>
      <c r="F778" s="17">
        <f>F779</f>
        <v>5330</v>
      </c>
      <c r="G778" s="17">
        <f t="shared" si="38"/>
        <v>5330</v>
      </c>
      <c r="H778" s="18"/>
    </row>
    <row r="779" spans="1:8" ht="36">
      <c r="A779" s="16" t="s">
        <v>1935</v>
      </c>
      <c r="B779" s="52" t="s">
        <v>1651</v>
      </c>
      <c r="C779" s="52" t="s">
        <v>1652</v>
      </c>
      <c r="D779" s="52" t="s">
        <v>701</v>
      </c>
      <c r="E779" s="52" t="s">
        <v>180</v>
      </c>
      <c r="F779" s="18">
        <f>5280+50</f>
        <v>5330</v>
      </c>
      <c r="G779" s="17">
        <f t="shared" si="38"/>
        <v>5330</v>
      </c>
      <c r="H779" s="18"/>
    </row>
    <row r="780" spans="1:8" ht="24">
      <c r="A780" s="16" t="s">
        <v>396</v>
      </c>
      <c r="B780" s="52" t="s">
        <v>1651</v>
      </c>
      <c r="C780" s="52" t="s">
        <v>1652</v>
      </c>
      <c r="D780" s="52" t="s">
        <v>701</v>
      </c>
      <c r="E780" s="52" t="s">
        <v>1433</v>
      </c>
      <c r="F780" s="17">
        <f>F781+F782</f>
        <v>11428.5</v>
      </c>
      <c r="G780" s="17">
        <f t="shared" si="38"/>
        <v>11428.5</v>
      </c>
      <c r="H780" s="18"/>
    </row>
    <row r="781" spans="1:8" ht="24">
      <c r="A781" s="16" t="s">
        <v>395</v>
      </c>
      <c r="B781" s="52" t="s">
        <v>1651</v>
      </c>
      <c r="C781" s="52" t="s">
        <v>1652</v>
      </c>
      <c r="D781" s="52" t="s">
        <v>701</v>
      </c>
      <c r="E781" s="52" t="s">
        <v>1434</v>
      </c>
      <c r="F781" s="18">
        <v>10278.5</v>
      </c>
      <c r="G781" s="17">
        <f t="shared" si="38"/>
        <v>10278.5</v>
      </c>
      <c r="H781" s="18"/>
    </row>
    <row r="782" spans="1:8" ht="24">
      <c r="A782" s="16" t="s">
        <v>1027</v>
      </c>
      <c r="B782" s="52" t="s">
        <v>1651</v>
      </c>
      <c r="C782" s="52" t="s">
        <v>1652</v>
      </c>
      <c r="D782" s="52" t="s">
        <v>701</v>
      </c>
      <c r="E782" s="52" t="s">
        <v>1196</v>
      </c>
      <c r="F782" s="17">
        <f>F783+F784</f>
        <v>1150</v>
      </c>
      <c r="G782" s="17">
        <f t="shared" si="38"/>
        <v>1150</v>
      </c>
      <c r="H782" s="18"/>
    </row>
    <row r="783" spans="1:8" ht="36">
      <c r="A783" s="16" t="s">
        <v>1935</v>
      </c>
      <c r="B783" s="52" t="s">
        <v>1651</v>
      </c>
      <c r="C783" s="52" t="s">
        <v>1652</v>
      </c>
      <c r="D783" s="52" t="s">
        <v>701</v>
      </c>
      <c r="E783" s="52" t="s">
        <v>1196</v>
      </c>
      <c r="F783" s="18">
        <v>500</v>
      </c>
      <c r="G783" s="17">
        <f t="shared" si="38"/>
        <v>500</v>
      </c>
      <c r="H783" s="18"/>
    </row>
    <row r="784" spans="1:8" ht="24">
      <c r="A784" s="16" t="s">
        <v>369</v>
      </c>
      <c r="B784" s="52" t="s">
        <v>1651</v>
      </c>
      <c r="C784" s="52" t="s">
        <v>1652</v>
      </c>
      <c r="D784" s="52" t="s">
        <v>701</v>
      </c>
      <c r="E784" s="52" t="s">
        <v>1196</v>
      </c>
      <c r="F784" s="18">
        <v>650</v>
      </c>
      <c r="G784" s="17">
        <f t="shared" si="38"/>
        <v>650</v>
      </c>
      <c r="H784" s="18"/>
    </row>
    <row r="785" spans="1:8" ht="48">
      <c r="A785" s="16" t="s">
        <v>1446</v>
      </c>
      <c r="B785" s="52" t="s">
        <v>1651</v>
      </c>
      <c r="C785" s="52" t="s">
        <v>1652</v>
      </c>
      <c r="D785" s="52" t="s">
        <v>853</v>
      </c>
      <c r="E785" s="52" t="s">
        <v>575</v>
      </c>
      <c r="F785" s="17">
        <f>F786</f>
        <v>221</v>
      </c>
      <c r="G785" s="17">
        <f t="shared" si="38"/>
        <v>221</v>
      </c>
      <c r="H785" s="18"/>
    </row>
    <row r="786" spans="1:8" ht="24">
      <c r="A786" s="155" t="s">
        <v>172</v>
      </c>
      <c r="B786" s="52" t="s">
        <v>1651</v>
      </c>
      <c r="C786" s="52" t="s">
        <v>1652</v>
      </c>
      <c r="D786" s="52" t="s">
        <v>853</v>
      </c>
      <c r="E786" s="52" t="s">
        <v>1644</v>
      </c>
      <c r="F786" s="17">
        <f>F787</f>
        <v>221</v>
      </c>
      <c r="G786" s="17">
        <f t="shared" si="38"/>
        <v>221</v>
      </c>
      <c r="H786" s="18"/>
    </row>
    <row r="787" spans="1:8" ht="24">
      <c r="A787" s="155" t="s">
        <v>1535</v>
      </c>
      <c r="B787" s="52" t="s">
        <v>1651</v>
      </c>
      <c r="C787" s="52" t="s">
        <v>1652</v>
      </c>
      <c r="D787" s="52" t="s">
        <v>853</v>
      </c>
      <c r="E787" s="52" t="s">
        <v>1536</v>
      </c>
      <c r="F787" s="18">
        <v>221</v>
      </c>
      <c r="G787" s="17">
        <f t="shared" si="38"/>
        <v>221</v>
      </c>
      <c r="H787" s="18"/>
    </row>
    <row r="788" spans="1:8" ht="24.75" hidden="1">
      <c r="A788" s="16" t="s">
        <v>270</v>
      </c>
      <c r="B788" s="52" t="s">
        <v>1651</v>
      </c>
      <c r="C788" s="52" t="s">
        <v>1652</v>
      </c>
      <c r="D788" s="52" t="s">
        <v>853</v>
      </c>
      <c r="E788" s="52" t="s">
        <v>271</v>
      </c>
      <c r="F788" s="17">
        <f>F789</f>
        <v>0</v>
      </c>
      <c r="G788" s="17">
        <f t="shared" si="38"/>
        <v>0</v>
      </c>
      <c r="H788" s="18"/>
    </row>
    <row r="789" spans="1:8" ht="24.75" hidden="1">
      <c r="A789" s="16" t="s">
        <v>368</v>
      </c>
      <c r="B789" s="52" t="s">
        <v>1651</v>
      </c>
      <c r="C789" s="52" t="s">
        <v>1652</v>
      </c>
      <c r="D789" s="52" t="s">
        <v>853</v>
      </c>
      <c r="E789" s="52" t="s">
        <v>180</v>
      </c>
      <c r="F789" s="17">
        <f>F790</f>
        <v>0</v>
      </c>
      <c r="G789" s="17">
        <f t="shared" si="38"/>
        <v>0</v>
      </c>
      <c r="H789" s="18"/>
    </row>
    <row r="790" spans="1:8" ht="24.75" hidden="1">
      <c r="A790" s="16" t="s">
        <v>856</v>
      </c>
      <c r="B790" s="52" t="s">
        <v>1651</v>
      </c>
      <c r="C790" s="52" t="s">
        <v>1652</v>
      </c>
      <c r="D790" s="52" t="s">
        <v>853</v>
      </c>
      <c r="E790" s="52" t="s">
        <v>180</v>
      </c>
      <c r="F790" s="18">
        <f>100-100</f>
        <v>0</v>
      </c>
      <c r="G790" s="17">
        <f t="shared" si="38"/>
        <v>0</v>
      </c>
      <c r="H790" s="18"/>
    </row>
    <row r="791" spans="1:8" ht="15.75">
      <c r="A791" s="22" t="s">
        <v>1061</v>
      </c>
      <c r="B791" s="19" t="s">
        <v>1990</v>
      </c>
      <c r="C791" s="19"/>
      <c r="D791" s="19"/>
      <c r="E791" s="19"/>
      <c r="F791" s="20">
        <f>F792+F871</f>
        <v>355304.4</v>
      </c>
      <c r="G791" s="76">
        <f t="shared" si="38"/>
        <v>355304.4</v>
      </c>
      <c r="H791" s="20">
        <f>H792+H871</f>
        <v>0</v>
      </c>
    </row>
    <row r="792" spans="1:8" ht="15">
      <c r="A792" s="29" t="s">
        <v>879</v>
      </c>
      <c r="B792" s="15" t="s">
        <v>1990</v>
      </c>
      <c r="C792" s="15" t="s">
        <v>1624</v>
      </c>
      <c r="D792" s="15"/>
      <c r="E792" s="15"/>
      <c r="F792" s="17">
        <f>F793+F808+F814+F826+F833+F846</f>
        <v>241507.00000000003</v>
      </c>
      <c r="G792" s="17">
        <f t="shared" si="38"/>
        <v>241507.00000000003</v>
      </c>
      <c r="H792" s="17">
        <f>H793+H808+H814+H826</f>
        <v>0</v>
      </c>
    </row>
    <row r="793" spans="1:8" ht="24">
      <c r="A793" s="30" t="s">
        <v>584</v>
      </c>
      <c r="B793" s="15" t="s">
        <v>1990</v>
      </c>
      <c r="C793" s="15" t="s">
        <v>1624</v>
      </c>
      <c r="D793" s="15" t="s">
        <v>881</v>
      </c>
      <c r="E793" s="15"/>
      <c r="F793" s="17">
        <f>F798+F794</f>
        <v>800</v>
      </c>
      <c r="G793" s="17">
        <f>G798+G794</f>
        <v>800</v>
      </c>
      <c r="H793" s="17">
        <f>H798+H794</f>
        <v>0</v>
      </c>
    </row>
    <row r="794" spans="1:8" ht="24.75" hidden="1">
      <c r="A794" s="35" t="s">
        <v>114</v>
      </c>
      <c r="B794" s="15" t="s">
        <v>1990</v>
      </c>
      <c r="C794" s="15" t="s">
        <v>1624</v>
      </c>
      <c r="D794" s="15" t="s">
        <v>1566</v>
      </c>
      <c r="E794" s="15" t="s">
        <v>575</v>
      </c>
      <c r="F794" s="17">
        <f>F795</f>
        <v>0</v>
      </c>
      <c r="G794" s="17">
        <f>F794-H794</f>
        <v>0</v>
      </c>
      <c r="H794" s="17"/>
    </row>
    <row r="795" spans="1:8" ht="24.75" hidden="1">
      <c r="A795" s="16" t="s">
        <v>1997</v>
      </c>
      <c r="B795" s="15" t="s">
        <v>1990</v>
      </c>
      <c r="C795" s="15" t="s">
        <v>1624</v>
      </c>
      <c r="D795" s="15" t="s">
        <v>1566</v>
      </c>
      <c r="E795" s="15" t="s">
        <v>180</v>
      </c>
      <c r="F795" s="17">
        <f>F796</f>
        <v>0</v>
      </c>
      <c r="G795" s="17">
        <f>F795-H795</f>
        <v>0</v>
      </c>
      <c r="H795" s="17"/>
    </row>
    <row r="796" spans="1:8" ht="24.75" hidden="1">
      <c r="A796" s="16" t="s">
        <v>1171</v>
      </c>
      <c r="B796" s="15" t="s">
        <v>1990</v>
      </c>
      <c r="C796" s="15" t="s">
        <v>1624</v>
      </c>
      <c r="D796" s="15" t="s">
        <v>1566</v>
      </c>
      <c r="E796" s="15" t="s">
        <v>180</v>
      </c>
      <c r="F796" s="18"/>
      <c r="G796" s="17">
        <f>F796-H796</f>
        <v>0</v>
      </c>
      <c r="H796" s="18"/>
    </row>
    <row r="797" spans="1:8" ht="24.75" hidden="1">
      <c r="A797" s="16" t="s">
        <v>359</v>
      </c>
      <c r="B797" s="15" t="s">
        <v>1990</v>
      </c>
      <c r="C797" s="15" t="s">
        <v>1624</v>
      </c>
      <c r="D797" s="15" t="s">
        <v>1548</v>
      </c>
      <c r="E797" s="15" t="s">
        <v>360</v>
      </c>
      <c r="F797" s="18"/>
      <c r="G797" s="17">
        <f aca="true" t="shared" si="39" ref="G797:G807">F797-H797</f>
        <v>0</v>
      </c>
      <c r="H797" s="17"/>
    </row>
    <row r="798" spans="1:8" ht="24">
      <c r="A798" s="16" t="s">
        <v>2002</v>
      </c>
      <c r="B798" s="15" t="s">
        <v>1990</v>
      </c>
      <c r="C798" s="15" t="s">
        <v>1624</v>
      </c>
      <c r="D798" s="15" t="s">
        <v>43</v>
      </c>
      <c r="E798" s="15" t="s">
        <v>575</v>
      </c>
      <c r="F798" s="17">
        <f>F799+F804+F806</f>
        <v>800</v>
      </c>
      <c r="G798" s="17">
        <f t="shared" si="39"/>
        <v>800</v>
      </c>
      <c r="H798" s="18"/>
    </row>
    <row r="799" spans="1:8" ht="24">
      <c r="A799" s="16" t="s">
        <v>270</v>
      </c>
      <c r="B799" s="15" t="s">
        <v>1990</v>
      </c>
      <c r="C799" s="15" t="s">
        <v>1624</v>
      </c>
      <c r="D799" s="15" t="s">
        <v>43</v>
      </c>
      <c r="E799" s="15" t="s">
        <v>271</v>
      </c>
      <c r="F799" s="17">
        <f>F800+F801</f>
        <v>800</v>
      </c>
      <c r="G799" s="17">
        <f t="shared" si="39"/>
        <v>800</v>
      </c>
      <c r="H799" s="18"/>
    </row>
    <row r="800" spans="1:8" ht="24.75" hidden="1">
      <c r="A800" s="16" t="s">
        <v>269</v>
      </c>
      <c r="B800" s="15" t="s">
        <v>1990</v>
      </c>
      <c r="C800" s="15" t="s">
        <v>1624</v>
      </c>
      <c r="D800" s="15" t="s">
        <v>43</v>
      </c>
      <c r="E800" s="15" t="s">
        <v>570</v>
      </c>
      <c r="F800" s="18"/>
      <c r="G800" s="17">
        <f t="shared" si="39"/>
        <v>0</v>
      </c>
      <c r="H800" s="18"/>
    </row>
    <row r="801" spans="1:8" ht="24">
      <c r="A801" s="16" t="s">
        <v>1997</v>
      </c>
      <c r="B801" s="15" t="s">
        <v>1990</v>
      </c>
      <c r="C801" s="15" t="s">
        <v>1624</v>
      </c>
      <c r="D801" s="15" t="s">
        <v>43</v>
      </c>
      <c r="E801" s="15" t="s">
        <v>180</v>
      </c>
      <c r="F801" s="17">
        <f>F802+F803</f>
        <v>800</v>
      </c>
      <c r="G801" s="17">
        <f t="shared" si="39"/>
        <v>800</v>
      </c>
      <c r="H801" s="18"/>
    </row>
    <row r="802" spans="1:8" ht="24.75" hidden="1">
      <c r="A802" s="16" t="s">
        <v>1172</v>
      </c>
      <c r="B802" s="15" t="s">
        <v>1990</v>
      </c>
      <c r="C802" s="15" t="s">
        <v>1624</v>
      </c>
      <c r="D802" s="15" t="s">
        <v>1362</v>
      </c>
      <c r="E802" s="15" t="s">
        <v>180</v>
      </c>
      <c r="F802" s="18"/>
      <c r="G802" s="17">
        <f t="shared" si="39"/>
        <v>0</v>
      </c>
      <c r="H802" s="18"/>
    </row>
    <row r="803" spans="1:8" ht="36">
      <c r="A803" s="168" t="s">
        <v>1187</v>
      </c>
      <c r="B803" s="15" t="s">
        <v>1990</v>
      </c>
      <c r="C803" s="15" t="s">
        <v>1624</v>
      </c>
      <c r="D803" s="15" t="s">
        <v>1362</v>
      </c>
      <c r="E803" s="15" t="s">
        <v>180</v>
      </c>
      <c r="F803" s="18">
        <v>800</v>
      </c>
      <c r="G803" s="17">
        <f t="shared" si="39"/>
        <v>800</v>
      </c>
      <c r="H803" s="18"/>
    </row>
    <row r="804" spans="1:8" ht="24.75" hidden="1">
      <c r="A804" s="16" t="s">
        <v>1432</v>
      </c>
      <c r="B804" s="15" t="s">
        <v>1990</v>
      </c>
      <c r="C804" s="15" t="s">
        <v>1624</v>
      </c>
      <c r="D804" s="15" t="s">
        <v>43</v>
      </c>
      <c r="E804" s="15" t="s">
        <v>1433</v>
      </c>
      <c r="F804" s="17">
        <f>F805</f>
        <v>0</v>
      </c>
      <c r="G804" s="17">
        <f t="shared" si="39"/>
        <v>0</v>
      </c>
      <c r="H804" s="18"/>
    </row>
    <row r="805" spans="1:8" ht="24.75" hidden="1">
      <c r="A805" s="16" t="s">
        <v>395</v>
      </c>
      <c r="B805" s="15" t="s">
        <v>1990</v>
      </c>
      <c r="C805" s="15" t="s">
        <v>1624</v>
      </c>
      <c r="D805" s="15" t="s">
        <v>43</v>
      </c>
      <c r="E805" s="15" t="s">
        <v>1434</v>
      </c>
      <c r="F805" s="18"/>
      <c r="G805" s="17">
        <f t="shared" si="39"/>
        <v>0</v>
      </c>
      <c r="H805" s="18"/>
    </row>
    <row r="806" spans="1:8" ht="24.75" hidden="1">
      <c r="A806" s="16" t="s">
        <v>1027</v>
      </c>
      <c r="B806" s="15" t="s">
        <v>1990</v>
      </c>
      <c r="C806" s="15" t="s">
        <v>1624</v>
      </c>
      <c r="D806" s="15" t="s">
        <v>43</v>
      </c>
      <c r="E806" s="15" t="s">
        <v>1196</v>
      </c>
      <c r="F806" s="17">
        <f>F807</f>
        <v>0</v>
      </c>
      <c r="G806" s="17">
        <f t="shared" si="39"/>
        <v>0</v>
      </c>
      <c r="H806" s="18"/>
    </row>
    <row r="807" spans="1:8" ht="48" hidden="1">
      <c r="A807" s="16" t="s">
        <v>2020</v>
      </c>
      <c r="B807" s="15" t="s">
        <v>1990</v>
      </c>
      <c r="C807" s="15" t="s">
        <v>1624</v>
      </c>
      <c r="D807" s="15" t="s">
        <v>43</v>
      </c>
      <c r="E807" s="15" t="s">
        <v>1196</v>
      </c>
      <c r="F807" s="18"/>
      <c r="G807" s="17">
        <f t="shared" si="39"/>
        <v>0</v>
      </c>
      <c r="H807" s="18"/>
    </row>
    <row r="808" spans="1:8" ht="15">
      <c r="A808" s="30" t="s">
        <v>709</v>
      </c>
      <c r="B808" s="15" t="s">
        <v>1990</v>
      </c>
      <c r="C808" s="15" t="s">
        <v>1624</v>
      </c>
      <c r="D808" s="15" t="s">
        <v>22</v>
      </c>
      <c r="E808" s="15"/>
      <c r="F808" s="17">
        <f>F809</f>
        <v>25</v>
      </c>
      <c r="G808" s="17">
        <f>G809</f>
        <v>25</v>
      </c>
      <c r="H808" s="17">
        <f>H809</f>
        <v>0</v>
      </c>
    </row>
    <row r="809" spans="1:8" ht="24">
      <c r="A809" s="16" t="s">
        <v>2002</v>
      </c>
      <c r="B809" s="15" t="s">
        <v>1990</v>
      </c>
      <c r="C809" s="15" t="s">
        <v>1624</v>
      </c>
      <c r="D809" s="15" t="s">
        <v>44</v>
      </c>
      <c r="E809" s="15" t="s">
        <v>575</v>
      </c>
      <c r="F809" s="17">
        <f>F810</f>
        <v>25</v>
      </c>
      <c r="G809" s="17">
        <f>F809-H809</f>
        <v>25</v>
      </c>
      <c r="H809" s="18"/>
    </row>
    <row r="810" spans="1:8" ht="24">
      <c r="A810" s="16" t="s">
        <v>270</v>
      </c>
      <c r="B810" s="15" t="s">
        <v>1990</v>
      </c>
      <c r="C810" s="15" t="s">
        <v>1624</v>
      </c>
      <c r="D810" s="15" t="s">
        <v>44</v>
      </c>
      <c r="E810" s="15" t="s">
        <v>271</v>
      </c>
      <c r="F810" s="17">
        <f>F811+F812</f>
        <v>25</v>
      </c>
      <c r="G810" s="17">
        <f>F810-H810</f>
        <v>25</v>
      </c>
      <c r="H810" s="18"/>
    </row>
    <row r="811" spans="1:8" ht="24.75" hidden="1">
      <c r="A811" s="16" t="s">
        <v>269</v>
      </c>
      <c r="B811" s="15" t="s">
        <v>1990</v>
      </c>
      <c r="C811" s="15" t="s">
        <v>1624</v>
      </c>
      <c r="D811" s="15" t="s">
        <v>44</v>
      </c>
      <c r="E811" s="15" t="s">
        <v>570</v>
      </c>
      <c r="F811" s="18"/>
      <c r="G811" s="17">
        <f>F811-H811</f>
        <v>0</v>
      </c>
      <c r="H811" s="18"/>
    </row>
    <row r="812" spans="1:8" ht="24">
      <c r="A812" s="168" t="s">
        <v>1997</v>
      </c>
      <c r="B812" s="15" t="s">
        <v>1990</v>
      </c>
      <c r="C812" s="15" t="s">
        <v>1624</v>
      </c>
      <c r="D812" s="15" t="s">
        <v>44</v>
      </c>
      <c r="E812" s="15" t="s">
        <v>180</v>
      </c>
      <c r="F812" s="17">
        <f>F813</f>
        <v>25</v>
      </c>
      <c r="G812" s="17">
        <f>F812-H812</f>
        <v>25</v>
      </c>
      <c r="H812" s="18"/>
    </row>
    <row r="813" spans="1:8" ht="36">
      <c r="A813" s="168" t="s">
        <v>1187</v>
      </c>
      <c r="B813" s="15" t="s">
        <v>1990</v>
      </c>
      <c r="C813" s="15" t="s">
        <v>1624</v>
      </c>
      <c r="D813" s="15" t="s">
        <v>44</v>
      </c>
      <c r="E813" s="15" t="s">
        <v>180</v>
      </c>
      <c r="F813" s="18">
        <v>25</v>
      </c>
      <c r="G813" s="17">
        <f>F813-H813</f>
        <v>25</v>
      </c>
      <c r="H813" s="18"/>
    </row>
    <row r="814" spans="1:8" ht="15">
      <c r="A814" s="30" t="s">
        <v>710</v>
      </c>
      <c r="B814" s="15" t="s">
        <v>1990</v>
      </c>
      <c r="C814" s="15" t="s">
        <v>1624</v>
      </c>
      <c r="D814" s="15" t="s">
        <v>23</v>
      </c>
      <c r="E814" s="15"/>
      <c r="F814" s="17">
        <f>F815+F817</f>
        <v>372</v>
      </c>
      <c r="G814" s="17">
        <f>G817</f>
        <v>372</v>
      </c>
      <c r="H814" s="17">
        <f>H817</f>
        <v>0</v>
      </c>
    </row>
    <row r="815" spans="1:8" ht="48" hidden="1">
      <c r="A815" s="35" t="s">
        <v>401</v>
      </c>
      <c r="B815" s="15" t="s">
        <v>1990</v>
      </c>
      <c r="C815" s="15" t="s">
        <v>1624</v>
      </c>
      <c r="D815" s="15" t="s">
        <v>901</v>
      </c>
      <c r="E815" s="15" t="s">
        <v>575</v>
      </c>
      <c r="F815" s="17">
        <f>F816</f>
        <v>0</v>
      </c>
      <c r="G815" s="17">
        <f>F815-H815</f>
        <v>0</v>
      </c>
      <c r="H815" s="17"/>
    </row>
    <row r="816" spans="1:8" ht="24.75" hidden="1">
      <c r="A816" s="16" t="s">
        <v>902</v>
      </c>
      <c r="B816" s="15" t="s">
        <v>1990</v>
      </c>
      <c r="C816" s="15" t="s">
        <v>1624</v>
      </c>
      <c r="D816" s="15" t="s">
        <v>901</v>
      </c>
      <c r="E816" s="15" t="s">
        <v>180</v>
      </c>
      <c r="F816" s="77"/>
      <c r="G816" s="17">
        <f>F816-H816</f>
        <v>0</v>
      </c>
      <c r="H816" s="17"/>
    </row>
    <row r="817" spans="1:8" ht="24">
      <c r="A817" s="16" t="s">
        <v>2002</v>
      </c>
      <c r="B817" s="15" t="s">
        <v>1990</v>
      </c>
      <c r="C817" s="15" t="s">
        <v>1624</v>
      </c>
      <c r="D817" s="15" t="s">
        <v>45</v>
      </c>
      <c r="E817" s="15" t="s">
        <v>575</v>
      </c>
      <c r="F817" s="17">
        <f>F818</f>
        <v>372</v>
      </c>
      <c r="G817" s="17">
        <f aca="true" t="shared" si="40" ref="G817:G870">F817-H817</f>
        <v>372</v>
      </c>
      <c r="H817" s="18"/>
    </row>
    <row r="818" spans="1:8" ht="24">
      <c r="A818" s="16" t="s">
        <v>270</v>
      </c>
      <c r="B818" s="15" t="s">
        <v>1990</v>
      </c>
      <c r="C818" s="15" t="s">
        <v>1624</v>
      </c>
      <c r="D818" s="15" t="s">
        <v>45</v>
      </c>
      <c r="E818" s="15" t="s">
        <v>271</v>
      </c>
      <c r="F818" s="17">
        <f>F819+F820+F823</f>
        <v>372</v>
      </c>
      <c r="G818" s="17">
        <f t="shared" si="40"/>
        <v>372</v>
      </c>
      <c r="H818" s="18"/>
    </row>
    <row r="819" spans="1:8" ht="24.75" hidden="1">
      <c r="A819" s="16" t="s">
        <v>269</v>
      </c>
      <c r="B819" s="15" t="s">
        <v>1990</v>
      </c>
      <c r="C819" s="15" t="s">
        <v>1624</v>
      </c>
      <c r="D819" s="15" t="s">
        <v>45</v>
      </c>
      <c r="E819" s="15" t="s">
        <v>570</v>
      </c>
      <c r="F819" s="18"/>
      <c r="G819" s="17">
        <f t="shared" si="40"/>
        <v>0</v>
      </c>
      <c r="H819" s="18"/>
    </row>
    <row r="820" spans="1:8" ht="24">
      <c r="A820" s="168" t="s">
        <v>1997</v>
      </c>
      <c r="B820" s="15" t="s">
        <v>1990</v>
      </c>
      <c r="C820" s="15" t="s">
        <v>1624</v>
      </c>
      <c r="D820" s="15" t="s">
        <v>45</v>
      </c>
      <c r="E820" s="15" t="s">
        <v>180</v>
      </c>
      <c r="F820" s="17">
        <f>F821+F822</f>
        <v>372</v>
      </c>
      <c r="G820" s="17">
        <f t="shared" si="40"/>
        <v>372</v>
      </c>
      <c r="H820" s="18"/>
    </row>
    <row r="821" spans="1:8" ht="36">
      <c r="A821" s="168" t="s">
        <v>1187</v>
      </c>
      <c r="B821" s="15" t="s">
        <v>1990</v>
      </c>
      <c r="C821" s="15" t="s">
        <v>1624</v>
      </c>
      <c r="D821" s="15" t="s">
        <v>45</v>
      </c>
      <c r="E821" s="15" t="s">
        <v>180</v>
      </c>
      <c r="F821" s="18">
        <f>372-48.6-74.4</f>
        <v>248.99999999999997</v>
      </c>
      <c r="G821" s="17">
        <f t="shared" si="40"/>
        <v>248.99999999999997</v>
      </c>
      <c r="H821" s="18"/>
    </row>
    <row r="822" spans="1:8" ht="24">
      <c r="A822" s="16" t="s">
        <v>654</v>
      </c>
      <c r="B822" s="15" t="s">
        <v>1990</v>
      </c>
      <c r="C822" s="15" t="s">
        <v>1624</v>
      </c>
      <c r="D822" s="15" t="s">
        <v>45</v>
      </c>
      <c r="E822" s="15" t="s">
        <v>180</v>
      </c>
      <c r="F822" s="18">
        <f>48.6+74.4</f>
        <v>123</v>
      </c>
      <c r="G822" s="17">
        <f t="shared" si="40"/>
        <v>123</v>
      </c>
      <c r="H822" s="18"/>
    </row>
    <row r="823" spans="1:8" ht="24.75" hidden="1">
      <c r="A823" s="16" t="s">
        <v>1997</v>
      </c>
      <c r="B823" s="15" t="s">
        <v>1990</v>
      </c>
      <c r="C823" s="15" t="s">
        <v>1624</v>
      </c>
      <c r="D823" s="15" t="s">
        <v>371</v>
      </c>
      <c r="E823" s="15" t="s">
        <v>180</v>
      </c>
      <c r="F823" s="17">
        <f>F824+F825</f>
        <v>0</v>
      </c>
      <c r="G823" s="17">
        <f t="shared" si="40"/>
        <v>0</v>
      </c>
      <c r="H823" s="18"/>
    </row>
    <row r="824" spans="1:8" ht="24.75" hidden="1">
      <c r="A824" s="16" t="s">
        <v>1998</v>
      </c>
      <c r="B824" s="15" t="s">
        <v>1990</v>
      </c>
      <c r="C824" s="15" t="s">
        <v>1624</v>
      </c>
      <c r="D824" s="15" t="s">
        <v>371</v>
      </c>
      <c r="E824" s="15" t="s">
        <v>180</v>
      </c>
      <c r="F824" s="18"/>
      <c r="G824" s="17">
        <f t="shared" si="40"/>
        <v>0</v>
      </c>
      <c r="H824" s="18"/>
    </row>
    <row r="825" spans="1:8" ht="24.75" hidden="1">
      <c r="A825" s="16" t="s">
        <v>423</v>
      </c>
      <c r="B825" s="15" t="s">
        <v>1990</v>
      </c>
      <c r="C825" s="15" t="s">
        <v>1624</v>
      </c>
      <c r="D825" s="15" t="s">
        <v>371</v>
      </c>
      <c r="E825" s="15" t="s">
        <v>180</v>
      </c>
      <c r="F825" s="18"/>
      <c r="G825" s="17">
        <f t="shared" si="40"/>
        <v>0</v>
      </c>
      <c r="H825" s="18"/>
    </row>
    <row r="826" spans="1:8" ht="24" hidden="1">
      <c r="A826" s="30" t="s">
        <v>517</v>
      </c>
      <c r="B826" s="15" t="s">
        <v>1990</v>
      </c>
      <c r="C826" s="15" t="s">
        <v>1624</v>
      </c>
      <c r="D826" s="15" t="s">
        <v>707</v>
      </c>
      <c r="E826" s="15"/>
      <c r="F826" s="17">
        <f>F829+F827</f>
        <v>0</v>
      </c>
      <c r="G826" s="17">
        <f t="shared" si="40"/>
        <v>0</v>
      </c>
      <c r="H826" s="17">
        <f>H829</f>
        <v>0</v>
      </c>
    </row>
    <row r="827" spans="1:8" ht="24" hidden="1">
      <c r="A827" s="35" t="s">
        <v>16</v>
      </c>
      <c r="B827" s="15" t="s">
        <v>1990</v>
      </c>
      <c r="C827" s="15" t="s">
        <v>1624</v>
      </c>
      <c r="D827" s="15" t="s">
        <v>1992</v>
      </c>
      <c r="E827" s="15"/>
      <c r="F827" s="17">
        <f>F828</f>
        <v>0</v>
      </c>
      <c r="G827" s="17">
        <f t="shared" si="40"/>
        <v>0</v>
      </c>
      <c r="H827" s="17"/>
    </row>
    <row r="828" spans="1:8" ht="24.75" hidden="1">
      <c r="A828" s="16" t="s">
        <v>359</v>
      </c>
      <c r="B828" s="15" t="s">
        <v>1990</v>
      </c>
      <c r="C828" s="15" t="s">
        <v>1624</v>
      </c>
      <c r="D828" s="15" t="s">
        <v>1992</v>
      </c>
      <c r="E828" s="15" t="s">
        <v>360</v>
      </c>
      <c r="F828" s="18">
        <v>0</v>
      </c>
      <c r="G828" s="17">
        <f t="shared" si="40"/>
        <v>0</v>
      </c>
      <c r="H828" s="17"/>
    </row>
    <row r="829" spans="1:8" ht="24.75" hidden="1">
      <c r="A829" s="16" t="s">
        <v>1632</v>
      </c>
      <c r="B829" s="15" t="s">
        <v>1990</v>
      </c>
      <c r="C829" s="15" t="s">
        <v>1624</v>
      </c>
      <c r="D829" s="15" t="s">
        <v>46</v>
      </c>
      <c r="E829" s="15" t="s">
        <v>575</v>
      </c>
      <c r="F829" s="17">
        <f>F830+F831</f>
        <v>0</v>
      </c>
      <c r="G829" s="17">
        <f t="shared" si="40"/>
        <v>0</v>
      </c>
      <c r="H829" s="18"/>
    </row>
    <row r="830" spans="1:8" ht="24.75" hidden="1">
      <c r="A830" s="16" t="s">
        <v>1942</v>
      </c>
      <c r="B830" s="15" t="s">
        <v>1990</v>
      </c>
      <c r="C830" s="15" t="s">
        <v>1624</v>
      </c>
      <c r="D830" s="15" t="s">
        <v>46</v>
      </c>
      <c r="E830" s="15" t="s">
        <v>17</v>
      </c>
      <c r="F830" s="18"/>
      <c r="G830" s="17">
        <f t="shared" si="40"/>
        <v>0</v>
      </c>
      <c r="H830" s="18"/>
    </row>
    <row r="831" spans="1:8" ht="24.75" hidden="1">
      <c r="A831" s="16" t="s">
        <v>368</v>
      </c>
      <c r="B831" s="15" t="s">
        <v>1990</v>
      </c>
      <c r="C831" s="15" t="s">
        <v>1624</v>
      </c>
      <c r="D831" s="15" t="s">
        <v>46</v>
      </c>
      <c r="E831" s="15" t="s">
        <v>180</v>
      </c>
      <c r="F831" s="17">
        <f>F832</f>
        <v>0</v>
      </c>
      <c r="G831" s="17">
        <f t="shared" si="40"/>
        <v>0</v>
      </c>
      <c r="H831" s="18"/>
    </row>
    <row r="832" spans="1:8" ht="24.75" hidden="1">
      <c r="A832" s="16" t="s">
        <v>1567</v>
      </c>
      <c r="B832" s="15" t="s">
        <v>1990</v>
      </c>
      <c r="C832" s="15" t="s">
        <v>1624</v>
      </c>
      <c r="D832" s="15" t="s">
        <v>46</v>
      </c>
      <c r="E832" s="15" t="s">
        <v>180</v>
      </c>
      <c r="F832" s="18">
        <v>0</v>
      </c>
      <c r="G832" s="17">
        <f t="shared" si="40"/>
        <v>0</v>
      </c>
      <c r="H832" s="18"/>
    </row>
    <row r="833" spans="1:8" ht="24">
      <c r="A833" s="159" t="s">
        <v>1148</v>
      </c>
      <c r="B833" s="15" t="s">
        <v>1990</v>
      </c>
      <c r="C833" s="15" t="s">
        <v>1624</v>
      </c>
      <c r="D833" s="15" t="s">
        <v>1149</v>
      </c>
      <c r="E833" s="15"/>
      <c r="F833" s="17">
        <f>F834+F840</f>
        <v>8746.6</v>
      </c>
      <c r="G833" s="17">
        <f t="shared" si="40"/>
        <v>8746.6</v>
      </c>
      <c r="H833" s="18"/>
    </row>
    <row r="834" spans="1:8" ht="48">
      <c r="A834" s="35" t="s">
        <v>145</v>
      </c>
      <c r="B834" s="15" t="s">
        <v>1990</v>
      </c>
      <c r="C834" s="15" t="s">
        <v>1624</v>
      </c>
      <c r="D834" s="15" t="s">
        <v>143</v>
      </c>
      <c r="E834" s="15"/>
      <c r="F834" s="17">
        <f>F835</f>
        <v>5000</v>
      </c>
      <c r="G834" s="17">
        <f t="shared" si="40"/>
        <v>5000</v>
      </c>
      <c r="H834" s="18"/>
    </row>
    <row r="835" spans="1:8" ht="36">
      <c r="A835" s="35" t="s">
        <v>352</v>
      </c>
      <c r="B835" s="15" t="s">
        <v>1990</v>
      </c>
      <c r="C835" s="15" t="s">
        <v>1624</v>
      </c>
      <c r="D835" s="15" t="s">
        <v>353</v>
      </c>
      <c r="E835" s="15" t="s">
        <v>575</v>
      </c>
      <c r="F835" s="17">
        <f>F836</f>
        <v>5000</v>
      </c>
      <c r="G835" s="17">
        <f t="shared" si="40"/>
        <v>5000</v>
      </c>
      <c r="H835" s="18"/>
    </row>
    <row r="836" spans="1:8" ht="24">
      <c r="A836" s="16" t="s">
        <v>270</v>
      </c>
      <c r="B836" s="15" t="s">
        <v>1990</v>
      </c>
      <c r="C836" s="15" t="s">
        <v>1624</v>
      </c>
      <c r="D836" s="15" t="s">
        <v>353</v>
      </c>
      <c r="E836" s="15" t="s">
        <v>271</v>
      </c>
      <c r="F836" s="17">
        <f>F837</f>
        <v>5000</v>
      </c>
      <c r="G836" s="17">
        <f t="shared" si="40"/>
        <v>5000</v>
      </c>
      <c r="H836" s="18"/>
    </row>
    <row r="837" spans="1:8" ht="24">
      <c r="A837" s="16" t="s">
        <v>1997</v>
      </c>
      <c r="B837" s="15" t="s">
        <v>1990</v>
      </c>
      <c r="C837" s="15" t="s">
        <v>1624</v>
      </c>
      <c r="D837" s="15" t="s">
        <v>353</v>
      </c>
      <c r="E837" s="15" t="s">
        <v>180</v>
      </c>
      <c r="F837" s="17">
        <f>F838+F839</f>
        <v>5000</v>
      </c>
      <c r="G837" s="17">
        <f t="shared" si="40"/>
        <v>5000</v>
      </c>
      <c r="H837" s="17">
        <f>H838+H839</f>
        <v>0</v>
      </c>
    </row>
    <row r="838" spans="1:8" ht="24">
      <c r="A838" s="16" t="s">
        <v>374</v>
      </c>
      <c r="B838" s="15" t="s">
        <v>1990</v>
      </c>
      <c r="C838" s="15" t="s">
        <v>1624</v>
      </c>
      <c r="D838" s="15" t="s">
        <v>353</v>
      </c>
      <c r="E838" s="15" t="s">
        <v>180</v>
      </c>
      <c r="F838" s="18">
        <v>4000</v>
      </c>
      <c r="G838" s="17">
        <f t="shared" si="40"/>
        <v>4000</v>
      </c>
      <c r="H838" s="18"/>
    </row>
    <row r="839" spans="1:8" ht="24">
      <c r="A839" s="16" t="s">
        <v>20</v>
      </c>
      <c r="B839" s="15" t="s">
        <v>1990</v>
      </c>
      <c r="C839" s="15" t="s">
        <v>1624</v>
      </c>
      <c r="D839" s="15" t="s">
        <v>353</v>
      </c>
      <c r="E839" s="15" t="s">
        <v>180</v>
      </c>
      <c r="F839" s="18">
        <v>1000</v>
      </c>
      <c r="G839" s="17">
        <f t="shared" si="40"/>
        <v>1000</v>
      </c>
      <c r="H839" s="18"/>
    </row>
    <row r="840" spans="1:8" ht="48">
      <c r="A840" s="35" t="s">
        <v>310</v>
      </c>
      <c r="B840" s="15" t="s">
        <v>1990</v>
      </c>
      <c r="C840" s="15" t="s">
        <v>1624</v>
      </c>
      <c r="D840" s="15" t="s">
        <v>789</v>
      </c>
      <c r="E840" s="15"/>
      <c r="F840" s="17">
        <f>F841</f>
        <v>3746.6</v>
      </c>
      <c r="G840" s="17">
        <f t="shared" si="40"/>
        <v>3746.6</v>
      </c>
      <c r="H840" s="18"/>
    </row>
    <row r="841" spans="1:8" ht="72">
      <c r="A841" s="35" t="s">
        <v>790</v>
      </c>
      <c r="B841" s="15" t="s">
        <v>1990</v>
      </c>
      <c r="C841" s="15" t="s">
        <v>1624</v>
      </c>
      <c r="D841" s="15" t="s">
        <v>791</v>
      </c>
      <c r="E841" s="15" t="s">
        <v>575</v>
      </c>
      <c r="F841" s="17">
        <f>F842+F844</f>
        <v>3746.6</v>
      </c>
      <c r="G841" s="17">
        <f t="shared" si="40"/>
        <v>3746.6</v>
      </c>
      <c r="H841" s="18"/>
    </row>
    <row r="842" spans="1:8" ht="24">
      <c r="A842" s="16" t="s">
        <v>270</v>
      </c>
      <c r="B842" s="15" t="s">
        <v>1990</v>
      </c>
      <c r="C842" s="15" t="s">
        <v>1624</v>
      </c>
      <c r="D842" s="15" t="s">
        <v>791</v>
      </c>
      <c r="E842" s="15" t="s">
        <v>271</v>
      </c>
      <c r="F842" s="17">
        <f>F843</f>
        <v>3109.1</v>
      </c>
      <c r="G842" s="17">
        <f t="shared" si="40"/>
        <v>3109.1</v>
      </c>
      <c r="H842" s="18"/>
    </row>
    <row r="843" spans="1:8" ht="24">
      <c r="A843" s="16" t="s">
        <v>269</v>
      </c>
      <c r="B843" s="15" t="s">
        <v>1990</v>
      </c>
      <c r="C843" s="15" t="s">
        <v>1624</v>
      </c>
      <c r="D843" s="15" t="s">
        <v>791</v>
      </c>
      <c r="E843" s="15" t="s">
        <v>570</v>
      </c>
      <c r="F843" s="18">
        <v>3109.1</v>
      </c>
      <c r="G843" s="17">
        <f t="shared" si="40"/>
        <v>3109.1</v>
      </c>
      <c r="H843" s="18"/>
    </row>
    <row r="844" spans="1:8" ht="24">
      <c r="A844" s="16" t="s">
        <v>396</v>
      </c>
      <c r="B844" s="15" t="s">
        <v>1990</v>
      </c>
      <c r="C844" s="15" t="s">
        <v>1624</v>
      </c>
      <c r="D844" s="15" t="s">
        <v>791</v>
      </c>
      <c r="E844" s="15" t="s">
        <v>1433</v>
      </c>
      <c r="F844" s="17">
        <f>F845</f>
        <v>637.5</v>
      </c>
      <c r="G844" s="17">
        <f t="shared" si="40"/>
        <v>637.5</v>
      </c>
      <c r="H844" s="18"/>
    </row>
    <row r="845" spans="1:8" ht="26.25" customHeight="1">
      <c r="A845" s="16" t="s">
        <v>395</v>
      </c>
      <c r="B845" s="15" t="s">
        <v>1990</v>
      </c>
      <c r="C845" s="15" t="s">
        <v>1624</v>
      </c>
      <c r="D845" s="15" t="s">
        <v>791</v>
      </c>
      <c r="E845" s="15" t="s">
        <v>1434</v>
      </c>
      <c r="F845" s="18">
        <v>637.5</v>
      </c>
      <c r="G845" s="17">
        <f t="shared" si="40"/>
        <v>637.5</v>
      </c>
      <c r="H845" s="18"/>
    </row>
    <row r="846" spans="1:8" ht="24">
      <c r="A846" s="31" t="s">
        <v>1664</v>
      </c>
      <c r="B846" s="15" t="s">
        <v>1990</v>
      </c>
      <c r="C846" s="15" t="s">
        <v>1624</v>
      </c>
      <c r="D846" s="15" t="s">
        <v>1663</v>
      </c>
      <c r="E846" s="15"/>
      <c r="F846" s="17">
        <f>F847</f>
        <v>231563.40000000002</v>
      </c>
      <c r="G846" s="17">
        <f t="shared" si="40"/>
        <v>231563.40000000002</v>
      </c>
      <c r="H846" s="18"/>
    </row>
    <row r="847" spans="1:8" ht="24">
      <c r="A847" s="16" t="s">
        <v>289</v>
      </c>
      <c r="B847" s="15" t="s">
        <v>1990</v>
      </c>
      <c r="C847" s="15" t="s">
        <v>1624</v>
      </c>
      <c r="D847" s="15" t="s">
        <v>702</v>
      </c>
      <c r="E847" s="15" t="s">
        <v>575</v>
      </c>
      <c r="F847" s="17">
        <f>F848+F849+F863</f>
        <v>231563.40000000002</v>
      </c>
      <c r="G847" s="17">
        <f t="shared" si="40"/>
        <v>231563.40000000002</v>
      </c>
      <c r="H847" s="18"/>
    </row>
    <row r="848" spans="1:8" ht="24.75" hidden="1">
      <c r="A848" s="16" t="s">
        <v>230</v>
      </c>
      <c r="B848" s="15" t="s">
        <v>1990</v>
      </c>
      <c r="C848" s="15" t="s">
        <v>1624</v>
      </c>
      <c r="D848" s="15" t="s">
        <v>702</v>
      </c>
      <c r="E848" s="15" t="s">
        <v>17</v>
      </c>
      <c r="F848" s="77"/>
      <c r="G848" s="17">
        <f t="shared" si="40"/>
        <v>0</v>
      </c>
      <c r="H848" s="18"/>
    </row>
    <row r="849" spans="1:8" ht="24">
      <c r="A849" s="16" t="s">
        <v>270</v>
      </c>
      <c r="B849" s="15" t="s">
        <v>1990</v>
      </c>
      <c r="C849" s="15" t="s">
        <v>1624</v>
      </c>
      <c r="D849" s="52" t="s">
        <v>702</v>
      </c>
      <c r="E849" s="52" t="s">
        <v>271</v>
      </c>
      <c r="F849" s="17">
        <f>F850+F851</f>
        <v>201762.90000000002</v>
      </c>
      <c r="G849" s="17">
        <f t="shared" si="40"/>
        <v>201762.90000000002</v>
      </c>
      <c r="H849" s="17">
        <f>H850</f>
        <v>0</v>
      </c>
    </row>
    <row r="850" spans="1:8" ht="24">
      <c r="A850" s="16" t="s">
        <v>269</v>
      </c>
      <c r="B850" s="15" t="s">
        <v>1990</v>
      </c>
      <c r="C850" s="15" t="s">
        <v>1624</v>
      </c>
      <c r="D850" s="52" t="s">
        <v>702</v>
      </c>
      <c r="E850" s="52" t="s">
        <v>570</v>
      </c>
      <c r="F850" s="18">
        <f>176425+3332+3109.1-157.3</f>
        <v>182708.80000000002</v>
      </c>
      <c r="G850" s="17">
        <f t="shared" si="40"/>
        <v>182708.80000000002</v>
      </c>
      <c r="H850" s="17">
        <f>H851</f>
        <v>0</v>
      </c>
    </row>
    <row r="851" spans="1:8" ht="24">
      <c r="A851" s="16" t="s">
        <v>1997</v>
      </c>
      <c r="B851" s="15" t="s">
        <v>1990</v>
      </c>
      <c r="C851" s="15" t="s">
        <v>1624</v>
      </c>
      <c r="D851" s="52" t="s">
        <v>702</v>
      </c>
      <c r="E851" s="52" t="s">
        <v>180</v>
      </c>
      <c r="F851" s="17">
        <f>F852+F853+F854+F856+F857+F858+F859+F860+F861+F862+F855</f>
        <v>19054.1</v>
      </c>
      <c r="G851" s="17">
        <f t="shared" si="40"/>
        <v>19054.1</v>
      </c>
      <c r="H851" s="18"/>
    </row>
    <row r="852" spans="1:12" ht="24">
      <c r="A852" s="16" t="s">
        <v>1153</v>
      </c>
      <c r="B852" s="15" t="s">
        <v>1990</v>
      </c>
      <c r="C852" s="15" t="s">
        <v>1624</v>
      </c>
      <c r="D852" s="52" t="s">
        <v>702</v>
      </c>
      <c r="E852" s="52" t="s">
        <v>180</v>
      </c>
      <c r="F852" s="18">
        <f>7402+580+360+350+100+300+300+149+148.3</f>
        <v>9689.3</v>
      </c>
      <c r="G852" s="17">
        <f t="shared" si="40"/>
        <v>9689.3</v>
      </c>
      <c r="H852" s="18"/>
      <c r="L852" s="74"/>
    </row>
    <row r="853" spans="1:8" ht="24">
      <c r="A853" s="16" t="s">
        <v>236</v>
      </c>
      <c r="B853" s="15" t="s">
        <v>1990</v>
      </c>
      <c r="C853" s="15" t="s">
        <v>1624</v>
      </c>
      <c r="D853" s="52" t="s">
        <v>702</v>
      </c>
      <c r="E853" s="52" t="s">
        <v>180</v>
      </c>
      <c r="F853" s="18">
        <f>300+500</f>
        <v>800</v>
      </c>
      <c r="G853" s="17">
        <f t="shared" si="40"/>
        <v>800</v>
      </c>
      <c r="H853" s="18"/>
    </row>
    <row r="854" spans="1:8" ht="48">
      <c r="A854" s="16" t="s">
        <v>189</v>
      </c>
      <c r="B854" s="15" t="s">
        <v>1990</v>
      </c>
      <c r="C854" s="15" t="s">
        <v>1624</v>
      </c>
      <c r="D854" s="52" t="s">
        <v>702</v>
      </c>
      <c r="E854" s="52" t="s">
        <v>180</v>
      </c>
      <c r="F854" s="18">
        <v>685.5</v>
      </c>
      <c r="G854" s="17">
        <f>F854-H854</f>
        <v>685.5</v>
      </c>
      <c r="H854" s="18"/>
    </row>
    <row r="855" spans="1:8" ht="36">
      <c r="A855" s="16" t="s">
        <v>1929</v>
      </c>
      <c r="B855" s="15" t="s">
        <v>1990</v>
      </c>
      <c r="C855" s="15" t="s">
        <v>1624</v>
      </c>
      <c r="D855" s="52" t="s">
        <v>702</v>
      </c>
      <c r="E855" s="52" t="s">
        <v>180</v>
      </c>
      <c r="F855" s="18">
        <v>157.3</v>
      </c>
      <c r="G855" s="17">
        <f>F855-H855</f>
        <v>157.3</v>
      </c>
      <c r="H855" s="18"/>
    </row>
    <row r="856" spans="1:12" ht="24">
      <c r="A856" s="16" t="s">
        <v>798</v>
      </c>
      <c r="B856" s="15" t="s">
        <v>1990</v>
      </c>
      <c r="C856" s="15" t="s">
        <v>1624</v>
      </c>
      <c r="D856" s="52" t="s">
        <v>348</v>
      </c>
      <c r="E856" s="52" t="s">
        <v>180</v>
      </c>
      <c r="F856" s="18">
        <f>3020.5-546.3</f>
        <v>2474.2</v>
      </c>
      <c r="G856" s="17">
        <f>F856-H856</f>
        <v>2474.2</v>
      </c>
      <c r="H856" s="18"/>
      <c r="L856" s="74"/>
    </row>
    <row r="857" spans="1:8" ht="36">
      <c r="A857" s="16" t="s">
        <v>1472</v>
      </c>
      <c r="B857" s="15" t="s">
        <v>1990</v>
      </c>
      <c r="C857" s="15" t="s">
        <v>1624</v>
      </c>
      <c r="D857" s="52" t="s">
        <v>348</v>
      </c>
      <c r="E857" s="52" t="s">
        <v>180</v>
      </c>
      <c r="F857" s="18">
        <f>440+100-440</f>
        <v>100</v>
      </c>
      <c r="G857" s="17">
        <f t="shared" si="40"/>
        <v>100</v>
      </c>
      <c r="H857" s="18"/>
    </row>
    <row r="858" spans="1:8" ht="24">
      <c r="A858" s="16" t="s">
        <v>159</v>
      </c>
      <c r="B858" s="15" t="s">
        <v>1990</v>
      </c>
      <c r="C858" s="15" t="s">
        <v>1624</v>
      </c>
      <c r="D858" s="52" t="s">
        <v>348</v>
      </c>
      <c r="E858" s="52" t="s">
        <v>180</v>
      </c>
      <c r="F858" s="18">
        <f>500+478</f>
        <v>978</v>
      </c>
      <c r="G858" s="17">
        <f t="shared" si="40"/>
        <v>978</v>
      </c>
      <c r="H858" s="18"/>
    </row>
    <row r="859" spans="1:8" ht="36">
      <c r="A859" s="16" t="s">
        <v>160</v>
      </c>
      <c r="B859" s="15" t="s">
        <v>1990</v>
      </c>
      <c r="C859" s="15" t="s">
        <v>1624</v>
      </c>
      <c r="D859" s="52" t="s">
        <v>348</v>
      </c>
      <c r="E859" s="52" t="s">
        <v>180</v>
      </c>
      <c r="F859" s="18">
        <f>546.3+1453.7</f>
        <v>2000</v>
      </c>
      <c r="G859" s="17">
        <f t="shared" si="40"/>
        <v>2000</v>
      </c>
      <c r="H859" s="18"/>
    </row>
    <row r="860" spans="1:8" ht="24">
      <c r="A860" s="16" t="s">
        <v>1471</v>
      </c>
      <c r="B860" s="15" t="s">
        <v>1990</v>
      </c>
      <c r="C860" s="15" t="s">
        <v>1624</v>
      </c>
      <c r="D860" s="52" t="s">
        <v>348</v>
      </c>
      <c r="E860" s="52" t="s">
        <v>180</v>
      </c>
      <c r="F860" s="18">
        <v>1000</v>
      </c>
      <c r="G860" s="17">
        <f t="shared" si="40"/>
        <v>1000</v>
      </c>
      <c r="H860" s="18"/>
    </row>
    <row r="861" spans="1:8" ht="48">
      <c r="A861" s="16" t="s">
        <v>1476</v>
      </c>
      <c r="B861" s="15" t="s">
        <v>1990</v>
      </c>
      <c r="C861" s="15" t="s">
        <v>1624</v>
      </c>
      <c r="D861" s="52" t="s">
        <v>348</v>
      </c>
      <c r="E861" s="52" t="s">
        <v>180</v>
      </c>
      <c r="F861" s="18">
        <f>300+440</f>
        <v>740</v>
      </c>
      <c r="G861" s="17">
        <f t="shared" si="40"/>
        <v>740</v>
      </c>
      <c r="H861" s="18"/>
    </row>
    <row r="862" spans="1:8" ht="36">
      <c r="A862" s="16" t="s">
        <v>1124</v>
      </c>
      <c r="B862" s="15" t="s">
        <v>1990</v>
      </c>
      <c r="C862" s="15" t="s">
        <v>1624</v>
      </c>
      <c r="D862" s="52" t="s">
        <v>348</v>
      </c>
      <c r="E862" s="52" t="s">
        <v>180</v>
      </c>
      <c r="F862" s="18">
        <v>429.8</v>
      </c>
      <c r="G862" s="17">
        <f t="shared" si="40"/>
        <v>429.8</v>
      </c>
      <c r="H862" s="18"/>
    </row>
    <row r="863" spans="1:8" ht="24">
      <c r="A863" s="16" t="s">
        <v>396</v>
      </c>
      <c r="B863" s="15" t="s">
        <v>1990</v>
      </c>
      <c r="C863" s="15" t="s">
        <v>1624</v>
      </c>
      <c r="D863" s="52" t="s">
        <v>702</v>
      </c>
      <c r="E863" s="52" t="s">
        <v>1433</v>
      </c>
      <c r="F863" s="17">
        <f>F864+F865</f>
        <v>29800.5</v>
      </c>
      <c r="G863" s="17">
        <f t="shared" si="40"/>
        <v>29800.5</v>
      </c>
      <c r="H863" s="18"/>
    </row>
    <row r="864" spans="1:8" ht="24">
      <c r="A864" s="16" t="s">
        <v>395</v>
      </c>
      <c r="B864" s="15" t="s">
        <v>1990</v>
      </c>
      <c r="C864" s="15" t="s">
        <v>1624</v>
      </c>
      <c r="D864" s="52" t="s">
        <v>702</v>
      </c>
      <c r="E864" s="52" t="s">
        <v>1434</v>
      </c>
      <c r="F864" s="18">
        <f>19342+637.5</f>
        <v>19979.5</v>
      </c>
      <c r="G864" s="17">
        <f t="shared" si="40"/>
        <v>19979.5</v>
      </c>
      <c r="H864" s="18"/>
    </row>
    <row r="865" spans="1:8" ht="24">
      <c r="A865" s="16" t="s">
        <v>1027</v>
      </c>
      <c r="B865" s="15" t="s">
        <v>1990</v>
      </c>
      <c r="C865" s="15" t="s">
        <v>1624</v>
      </c>
      <c r="D865" s="52" t="s">
        <v>702</v>
      </c>
      <c r="E865" s="52" t="s">
        <v>1196</v>
      </c>
      <c r="F865" s="17">
        <f>F866+F867+F868+F869+F870</f>
        <v>9821</v>
      </c>
      <c r="G865" s="17">
        <f t="shared" si="40"/>
        <v>9821</v>
      </c>
      <c r="H865" s="18"/>
    </row>
    <row r="866" spans="1:8" ht="24">
      <c r="A866" s="16" t="s">
        <v>288</v>
      </c>
      <c r="B866" s="15" t="s">
        <v>1990</v>
      </c>
      <c r="C866" s="15" t="s">
        <v>1624</v>
      </c>
      <c r="D866" s="52" t="s">
        <v>702</v>
      </c>
      <c r="E866" s="52" t="s">
        <v>1196</v>
      </c>
      <c r="F866" s="18">
        <f>6788-553</f>
        <v>6235</v>
      </c>
      <c r="G866" s="17">
        <f t="shared" si="40"/>
        <v>6235</v>
      </c>
      <c r="H866" s="18"/>
    </row>
    <row r="867" spans="1:8" ht="24">
      <c r="A867" s="16" t="s">
        <v>188</v>
      </c>
      <c r="B867" s="15" t="s">
        <v>1990</v>
      </c>
      <c r="C867" s="15" t="s">
        <v>1624</v>
      </c>
      <c r="D867" s="52" t="s">
        <v>702</v>
      </c>
      <c r="E867" s="52" t="s">
        <v>1196</v>
      </c>
      <c r="F867" s="18">
        <v>553</v>
      </c>
      <c r="G867" s="17">
        <f t="shared" si="40"/>
        <v>553</v>
      </c>
      <c r="H867" s="18"/>
    </row>
    <row r="868" spans="1:8" ht="60">
      <c r="A868" s="16" t="s">
        <v>1125</v>
      </c>
      <c r="B868" s="15" t="s">
        <v>1990</v>
      </c>
      <c r="C868" s="15" t="s">
        <v>1624</v>
      </c>
      <c r="D868" s="52" t="s">
        <v>702</v>
      </c>
      <c r="E868" s="52" t="s">
        <v>1196</v>
      </c>
      <c r="F868" s="18">
        <v>2000</v>
      </c>
      <c r="G868" s="17">
        <f t="shared" si="40"/>
        <v>2000</v>
      </c>
      <c r="H868" s="18"/>
    </row>
    <row r="869" spans="1:8" ht="60">
      <c r="A869" s="16" t="s">
        <v>655</v>
      </c>
      <c r="B869" s="15" t="s">
        <v>1990</v>
      </c>
      <c r="C869" s="15" t="s">
        <v>1624</v>
      </c>
      <c r="D869" s="52" t="s">
        <v>702</v>
      </c>
      <c r="E869" s="52" t="s">
        <v>1196</v>
      </c>
      <c r="F869" s="18">
        <v>800</v>
      </c>
      <c r="G869" s="17">
        <f t="shared" si="40"/>
        <v>800</v>
      </c>
      <c r="H869" s="18"/>
    </row>
    <row r="870" spans="1:8" ht="36">
      <c r="A870" s="16" t="s">
        <v>656</v>
      </c>
      <c r="B870" s="15" t="s">
        <v>1990</v>
      </c>
      <c r="C870" s="15" t="s">
        <v>1624</v>
      </c>
      <c r="D870" s="52" t="s">
        <v>702</v>
      </c>
      <c r="E870" s="52" t="s">
        <v>1196</v>
      </c>
      <c r="F870" s="18">
        <v>233</v>
      </c>
      <c r="G870" s="17">
        <f t="shared" si="40"/>
        <v>233</v>
      </c>
      <c r="H870" s="18"/>
    </row>
    <row r="871" spans="1:8" ht="24">
      <c r="A871" s="29" t="s">
        <v>449</v>
      </c>
      <c r="B871" s="15" t="s">
        <v>1990</v>
      </c>
      <c r="C871" s="15" t="s">
        <v>439</v>
      </c>
      <c r="D871" s="15"/>
      <c r="E871" s="15"/>
      <c r="F871" s="17">
        <f>F872+F883+F880+F887+F895+F902</f>
        <v>113797.4</v>
      </c>
      <c r="G871" s="17">
        <f>G872+G883+G887+G902</f>
        <v>109290.69999999998</v>
      </c>
      <c r="H871" s="17">
        <f>H872+H883+H887+H902</f>
        <v>0</v>
      </c>
    </row>
    <row r="872" spans="1:8" ht="48">
      <c r="A872" s="30" t="s">
        <v>1542</v>
      </c>
      <c r="B872" s="15" t="s">
        <v>1990</v>
      </c>
      <c r="C872" s="15" t="s">
        <v>439</v>
      </c>
      <c r="D872" s="15" t="s">
        <v>1543</v>
      </c>
      <c r="E872" s="15"/>
      <c r="F872" s="17">
        <f>F873+F878</f>
        <v>13682.4</v>
      </c>
      <c r="G872" s="17">
        <f>G873+G878</f>
        <v>13682.4</v>
      </c>
      <c r="H872" s="17">
        <f>H873</f>
        <v>0</v>
      </c>
    </row>
    <row r="873" spans="1:8" ht="24">
      <c r="A873" s="16" t="s">
        <v>500</v>
      </c>
      <c r="B873" s="15" t="s">
        <v>1990</v>
      </c>
      <c r="C873" s="15" t="s">
        <v>439</v>
      </c>
      <c r="D873" s="15" t="s">
        <v>229</v>
      </c>
      <c r="E873" s="15" t="s">
        <v>575</v>
      </c>
      <c r="F873" s="17">
        <f>F874+F875</f>
        <v>13514.4</v>
      </c>
      <c r="G873" s="17">
        <f aca="true" t="shared" si="41" ref="G873:G882">F873-H873</f>
        <v>13514.4</v>
      </c>
      <c r="H873" s="18"/>
    </row>
    <row r="874" spans="1:8" ht="24">
      <c r="A874" s="16" t="s">
        <v>382</v>
      </c>
      <c r="B874" s="15" t="s">
        <v>1990</v>
      </c>
      <c r="C874" s="15" t="s">
        <v>439</v>
      </c>
      <c r="D874" s="15" t="s">
        <v>229</v>
      </c>
      <c r="E874" s="15" t="s">
        <v>383</v>
      </c>
      <c r="F874" s="18">
        <f>14073-11+81.9-1959.5-591.8</f>
        <v>11592.6</v>
      </c>
      <c r="G874" s="17">
        <f t="shared" si="41"/>
        <v>11592.6</v>
      </c>
      <c r="H874" s="18"/>
    </row>
    <row r="875" spans="1:8" ht="24">
      <c r="A875" s="155" t="s">
        <v>172</v>
      </c>
      <c r="B875" s="15" t="s">
        <v>1990</v>
      </c>
      <c r="C875" s="15" t="s">
        <v>439</v>
      </c>
      <c r="D875" s="15" t="s">
        <v>229</v>
      </c>
      <c r="E875" s="15" t="s">
        <v>1644</v>
      </c>
      <c r="F875" s="17">
        <f>F876+F877</f>
        <v>1921.8</v>
      </c>
      <c r="G875" s="17">
        <f t="shared" si="41"/>
        <v>1921.8</v>
      </c>
      <c r="H875" s="18"/>
    </row>
    <row r="876" spans="1:8" ht="36">
      <c r="A876" s="155" t="s">
        <v>848</v>
      </c>
      <c r="B876" s="15" t="s">
        <v>1990</v>
      </c>
      <c r="C876" s="15" t="s">
        <v>439</v>
      </c>
      <c r="D876" s="15" t="s">
        <v>229</v>
      </c>
      <c r="E876" s="15" t="s">
        <v>846</v>
      </c>
      <c r="F876" s="18">
        <f>712+12+10</f>
        <v>734</v>
      </c>
      <c r="G876" s="17">
        <f t="shared" si="41"/>
        <v>734</v>
      </c>
      <c r="H876" s="18"/>
    </row>
    <row r="877" spans="1:8" ht="24">
      <c r="A877" s="155" t="s">
        <v>1535</v>
      </c>
      <c r="B877" s="15" t="s">
        <v>1990</v>
      </c>
      <c r="C877" s="15" t="s">
        <v>439</v>
      </c>
      <c r="D877" s="15" t="s">
        <v>229</v>
      </c>
      <c r="E877" s="15" t="s">
        <v>1536</v>
      </c>
      <c r="F877" s="18">
        <f>808+11+45.7+50.3+222.8+50</f>
        <v>1187.8</v>
      </c>
      <c r="G877" s="17">
        <f t="shared" si="41"/>
        <v>1187.8</v>
      </c>
      <c r="H877" s="18"/>
    </row>
    <row r="878" spans="1:8" ht="24">
      <c r="A878" s="156" t="s">
        <v>1665</v>
      </c>
      <c r="B878" s="15" t="s">
        <v>1990</v>
      </c>
      <c r="C878" s="15" t="s">
        <v>439</v>
      </c>
      <c r="D878" s="15" t="s">
        <v>1635</v>
      </c>
      <c r="E878" s="15" t="s">
        <v>575</v>
      </c>
      <c r="F878" s="17">
        <f>F879</f>
        <v>168</v>
      </c>
      <c r="G878" s="17">
        <f t="shared" si="41"/>
        <v>168</v>
      </c>
      <c r="H878" s="18"/>
    </row>
    <row r="879" spans="1:8" ht="24">
      <c r="A879" s="156" t="s">
        <v>1665</v>
      </c>
      <c r="B879" s="15" t="s">
        <v>1990</v>
      </c>
      <c r="C879" s="15" t="s">
        <v>439</v>
      </c>
      <c r="D879" s="15" t="s">
        <v>1635</v>
      </c>
      <c r="E879" s="15" t="s">
        <v>1066</v>
      </c>
      <c r="F879" s="18">
        <v>168</v>
      </c>
      <c r="G879" s="17">
        <f t="shared" si="41"/>
        <v>168</v>
      </c>
      <c r="H879" s="18"/>
    </row>
    <row r="880" spans="1:8" ht="36">
      <c r="A880" s="156" t="s">
        <v>14</v>
      </c>
      <c r="B880" s="15" t="s">
        <v>1990</v>
      </c>
      <c r="C880" s="15" t="s">
        <v>439</v>
      </c>
      <c r="D880" s="15" t="s">
        <v>15</v>
      </c>
      <c r="E880" s="15"/>
      <c r="F880" s="17">
        <f>F881</f>
        <v>3250</v>
      </c>
      <c r="G880" s="17">
        <f t="shared" si="41"/>
        <v>3250</v>
      </c>
      <c r="H880" s="18"/>
    </row>
    <row r="881" spans="1:8" ht="48">
      <c r="A881" s="156" t="s">
        <v>186</v>
      </c>
      <c r="B881" s="15" t="s">
        <v>1990</v>
      </c>
      <c r="C881" s="15" t="s">
        <v>439</v>
      </c>
      <c r="D881" s="15" t="s">
        <v>15</v>
      </c>
      <c r="E881" s="15" t="s">
        <v>356</v>
      </c>
      <c r="F881" s="17">
        <f>F882</f>
        <v>3250</v>
      </c>
      <c r="G881" s="17">
        <f t="shared" si="41"/>
        <v>3250</v>
      </c>
      <c r="H881" s="18"/>
    </row>
    <row r="882" spans="1:8" ht="48">
      <c r="A882" s="156" t="s">
        <v>187</v>
      </c>
      <c r="B882" s="15" t="s">
        <v>1990</v>
      </c>
      <c r="C882" s="15" t="s">
        <v>439</v>
      </c>
      <c r="D882" s="15" t="s">
        <v>15</v>
      </c>
      <c r="E882" s="15" t="s">
        <v>356</v>
      </c>
      <c r="F882" s="18">
        <f>5607.8-2357.8</f>
        <v>3250</v>
      </c>
      <c r="G882" s="17">
        <f t="shared" si="41"/>
        <v>3250</v>
      </c>
      <c r="H882" s="18"/>
    </row>
    <row r="883" spans="1:8" ht="24">
      <c r="A883" s="36" t="s">
        <v>517</v>
      </c>
      <c r="B883" s="15" t="s">
        <v>1990</v>
      </c>
      <c r="C883" s="15" t="s">
        <v>439</v>
      </c>
      <c r="D883" s="15" t="s">
        <v>707</v>
      </c>
      <c r="E883" s="15"/>
      <c r="F883" s="17">
        <f>SUM(F884:F884)</f>
        <v>469</v>
      </c>
      <c r="G883" s="17">
        <f>SUM(G884:G884)</f>
        <v>469</v>
      </c>
      <c r="H883" s="17">
        <f>SUM(H884:H884)</f>
        <v>0</v>
      </c>
    </row>
    <row r="884" spans="1:8" ht="24">
      <c r="A884" s="16" t="s">
        <v>1632</v>
      </c>
      <c r="B884" s="15" t="s">
        <v>1990</v>
      </c>
      <c r="C884" s="15" t="s">
        <v>439</v>
      </c>
      <c r="D884" s="15" t="s">
        <v>46</v>
      </c>
      <c r="E884" s="15" t="s">
        <v>575</v>
      </c>
      <c r="F884" s="17">
        <f>F885+F886</f>
        <v>469</v>
      </c>
      <c r="G884" s="17">
        <f>F884-H884</f>
        <v>469</v>
      </c>
      <c r="H884" s="18"/>
    </row>
    <row r="885" spans="1:8" ht="24">
      <c r="A885" s="155" t="s">
        <v>1535</v>
      </c>
      <c r="B885" s="15" t="s">
        <v>1990</v>
      </c>
      <c r="C885" s="15" t="s">
        <v>439</v>
      </c>
      <c r="D885" s="15" t="s">
        <v>46</v>
      </c>
      <c r="E885" s="15" t="s">
        <v>1536</v>
      </c>
      <c r="F885" s="18">
        <f>385+0.4</f>
        <v>385.4</v>
      </c>
      <c r="G885" s="17">
        <f>F885-H885</f>
        <v>385.4</v>
      </c>
      <c r="H885" s="18"/>
    </row>
    <row r="886" spans="1:8" ht="24">
      <c r="A886" s="156" t="s">
        <v>1665</v>
      </c>
      <c r="B886" s="15" t="s">
        <v>1990</v>
      </c>
      <c r="C886" s="15" t="s">
        <v>439</v>
      </c>
      <c r="D886" s="15" t="s">
        <v>46</v>
      </c>
      <c r="E886" s="15" t="s">
        <v>1066</v>
      </c>
      <c r="F886" s="18">
        <f>84-0.4</f>
        <v>83.6</v>
      </c>
      <c r="G886" s="17">
        <f>F886-H886</f>
        <v>83.6</v>
      </c>
      <c r="H886" s="18"/>
    </row>
    <row r="887" spans="1:8" ht="60">
      <c r="A887" s="36" t="s">
        <v>1887</v>
      </c>
      <c r="B887" s="15" t="s">
        <v>1990</v>
      </c>
      <c r="C887" s="15" t="s">
        <v>439</v>
      </c>
      <c r="D887" s="15" t="s">
        <v>2006</v>
      </c>
      <c r="E887" s="15"/>
      <c r="F887" s="17">
        <f>F888</f>
        <v>93882.59999999999</v>
      </c>
      <c r="G887" s="17">
        <f>G888</f>
        <v>93882.59999999999</v>
      </c>
      <c r="H887" s="17">
        <f>H888</f>
        <v>0</v>
      </c>
    </row>
    <row r="888" spans="1:8" ht="24">
      <c r="A888" s="16" t="s">
        <v>2002</v>
      </c>
      <c r="B888" s="15" t="s">
        <v>1990</v>
      </c>
      <c r="C888" s="15" t="s">
        <v>439</v>
      </c>
      <c r="D888" s="15" t="s">
        <v>594</v>
      </c>
      <c r="E888" s="15" t="s">
        <v>575</v>
      </c>
      <c r="F888" s="17">
        <f>F889</f>
        <v>93882.59999999999</v>
      </c>
      <c r="G888" s="17">
        <f aca="true" t="shared" si="42" ref="G888:G905">F888-H888</f>
        <v>93882.59999999999</v>
      </c>
      <c r="H888" s="18"/>
    </row>
    <row r="889" spans="1:8" ht="24">
      <c r="A889" s="16" t="s">
        <v>270</v>
      </c>
      <c r="B889" s="15" t="s">
        <v>1990</v>
      </c>
      <c r="C889" s="15" t="s">
        <v>439</v>
      </c>
      <c r="D889" s="15" t="s">
        <v>594</v>
      </c>
      <c r="E889" s="15" t="s">
        <v>271</v>
      </c>
      <c r="F889" s="17">
        <f>F890+F891</f>
        <v>93882.59999999999</v>
      </c>
      <c r="G889" s="17">
        <f t="shared" si="42"/>
        <v>93882.59999999999</v>
      </c>
      <c r="H889" s="18"/>
    </row>
    <row r="890" spans="1:8" ht="24">
      <c r="A890" s="16" t="s">
        <v>269</v>
      </c>
      <c r="B890" s="15" t="s">
        <v>1990</v>
      </c>
      <c r="C890" s="15" t="s">
        <v>439</v>
      </c>
      <c r="D890" s="15" t="s">
        <v>594</v>
      </c>
      <c r="E890" s="15" t="s">
        <v>570</v>
      </c>
      <c r="F890" s="18">
        <f>81308.4+981.7</f>
        <v>82290.09999999999</v>
      </c>
      <c r="G890" s="17">
        <f t="shared" si="42"/>
        <v>82290.09999999999</v>
      </c>
      <c r="H890" s="18"/>
    </row>
    <row r="891" spans="1:8" ht="24">
      <c r="A891" s="16" t="s">
        <v>1154</v>
      </c>
      <c r="B891" s="15" t="s">
        <v>1990</v>
      </c>
      <c r="C891" s="15" t="s">
        <v>439</v>
      </c>
      <c r="D891" s="15" t="s">
        <v>1611</v>
      </c>
      <c r="E891" s="15" t="s">
        <v>180</v>
      </c>
      <c r="F891" s="17">
        <f>F892+F893+F894</f>
        <v>11592.5</v>
      </c>
      <c r="G891" s="17">
        <f t="shared" si="42"/>
        <v>11592.5</v>
      </c>
      <c r="H891" s="18"/>
    </row>
    <row r="892" spans="1:8" ht="24.75" hidden="1">
      <c r="A892" s="16" t="s">
        <v>1155</v>
      </c>
      <c r="B892" s="15" t="s">
        <v>1990</v>
      </c>
      <c r="C892" s="15" t="s">
        <v>439</v>
      </c>
      <c r="D892" s="15" t="s">
        <v>1611</v>
      </c>
      <c r="E892" s="15" t="s">
        <v>180</v>
      </c>
      <c r="F892" s="18"/>
      <c r="G892" s="17">
        <f t="shared" si="42"/>
        <v>0</v>
      </c>
      <c r="H892" s="18"/>
    </row>
    <row r="893" spans="1:8" ht="24">
      <c r="A893" s="16" t="s">
        <v>1666</v>
      </c>
      <c r="B893" s="15" t="s">
        <v>1990</v>
      </c>
      <c r="C893" s="15" t="s">
        <v>439</v>
      </c>
      <c r="D893" s="15" t="s">
        <v>1611</v>
      </c>
      <c r="E893" s="15" t="s">
        <v>180</v>
      </c>
      <c r="F893" s="18">
        <f>50+89.7+358.8</f>
        <v>498.5</v>
      </c>
      <c r="G893" s="17">
        <f t="shared" si="42"/>
        <v>498.5</v>
      </c>
      <c r="H893" s="18"/>
    </row>
    <row r="894" spans="1:8" ht="24">
      <c r="A894" s="16" t="s">
        <v>369</v>
      </c>
      <c r="B894" s="15" t="s">
        <v>1990</v>
      </c>
      <c r="C894" s="15" t="s">
        <v>439</v>
      </c>
      <c r="D894" s="15" t="s">
        <v>1611</v>
      </c>
      <c r="E894" s="15" t="s">
        <v>180</v>
      </c>
      <c r="F894" s="18">
        <f>11000+94</f>
        <v>11094</v>
      </c>
      <c r="G894" s="17">
        <f t="shared" si="42"/>
        <v>11094</v>
      </c>
      <c r="H894" s="18"/>
    </row>
    <row r="895" spans="1:8" ht="24">
      <c r="A895" s="159" t="s">
        <v>1148</v>
      </c>
      <c r="B895" s="15" t="s">
        <v>1990</v>
      </c>
      <c r="C895" s="15" t="s">
        <v>439</v>
      </c>
      <c r="D895" s="15" t="s">
        <v>1149</v>
      </c>
      <c r="E895" s="15"/>
      <c r="F895" s="17">
        <f>F896</f>
        <v>1256.7</v>
      </c>
      <c r="G895" s="17">
        <f t="shared" si="42"/>
        <v>1256.7</v>
      </c>
      <c r="H895" s="18"/>
    </row>
    <row r="896" spans="1:8" ht="48">
      <c r="A896" s="35" t="s">
        <v>310</v>
      </c>
      <c r="B896" s="15" t="s">
        <v>1990</v>
      </c>
      <c r="C896" s="15" t="s">
        <v>439</v>
      </c>
      <c r="D896" s="15" t="s">
        <v>789</v>
      </c>
      <c r="E896" s="15"/>
      <c r="F896" s="17">
        <f>F897</f>
        <v>1256.7</v>
      </c>
      <c r="G896" s="17">
        <f t="shared" si="42"/>
        <v>1256.7</v>
      </c>
      <c r="H896" s="18"/>
    </row>
    <row r="897" spans="1:8" ht="72">
      <c r="A897" s="35" t="s">
        <v>790</v>
      </c>
      <c r="B897" s="15" t="s">
        <v>1990</v>
      </c>
      <c r="C897" s="15" t="s">
        <v>439</v>
      </c>
      <c r="D897" s="15" t="s">
        <v>791</v>
      </c>
      <c r="E897" s="15" t="s">
        <v>575</v>
      </c>
      <c r="F897" s="17">
        <f>F898+F900</f>
        <v>1256.7</v>
      </c>
      <c r="G897" s="17">
        <f t="shared" si="42"/>
        <v>1256.7</v>
      </c>
      <c r="H897" s="18"/>
    </row>
    <row r="898" spans="1:8" ht="24">
      <c r="A898" s="16" t="s">
        <v>270</v>
      </c>
      <c r="B898" s="15" t="s">
        <v>1990</v>
      </c>
      <c r="C898" s="15" t="s">
        <v>439</v>
      </c>
      <c r="D898" s="15" t="s">
        <v>791</v>
      </c>
      <c r="E898" s="15" t="s">
        <v>271</v>
      </c>
      <c r="F898" s="17">
        <f>F899</f>
        <v>1256.7</v>
      </c>
      <c r="G898" s="17">
        <f t="shared" si="42"/>
        <v>1256.7</v>
      </c>
      <c r="H898" s="18"/>
    </row>
    <row r="899" spans="1:8" ht="24">
      <c r="A899" s="16" t="s">
        <v>269</v>
      </c>
      <c r="B899" s="15" t="s">
        <v>1990</v>
      </c>
      <c r="C899" s="15" t="s">
        <v>439</v>
      </c>
      <c r="D899" s="15" t="s">
        <v>791</v>
      </c>
      <c r="E899" s="15" t="s">
        <v>570</v>
      </c>
      <c r="F899" s="18">
        <v>1256.7</v>
      </c>
      <c r="G899" s="17">
        <f t="shared" si="42"/>
        <v>1256.7</v>
      </c>
      <c r="H899" s="18"/>
    </row>
    <row r="900" spans="1:8" ht="24.75" hidden="1">
      <c r="A900" s="16" t="s">
        <v>396</v>
      </c>
      <c r="B900" s="15" t="s">
        <v>1990</v>
      </c>
      <c r="C900" s="15" t="s">
        <v>439</v>
      </c>
      <c r="D900" s="15" t="s">
        <v>791</v>
      </c>
      <c r="E900" s="15" t="s">
        <v>1433</v>
      </c>
      <c r="F900" s="18"/>
      <c r="G900" s="17">
        <f t="shared" si="42"/>
        <v>0</v>
      </c>
      <c r="H900" s="18"/>
    </row>
    <row r="901" spans="1:8" ht="24.75" hidden="1">
      <c r="A901" s="16" t="s">
        <v>395</v>
      </c>
      <c r="B901" s="15" t="s">
        <v>1990</v>
      </c>
      <c r="C901" s="15" t="s">
        <v>439</v>
      </c>
      <c r="D901" s="15" t="s">
        <v>791</v>
      </c>
      <c r="E901" s="15" t="s">
        <v>1434</v>
      </c>
      <c r="F901" s="18"/>
      <c r="G901" s="17">
        <f t="shared" si="42"/>
        <v>0</v>
      </c>
      <c r="H901" s="18"/>
    </row>
    <row r="902" spans="1:8" ht="24">
      <c r="A902" s="31" t="s">
        <v>1664</v>
      </c>
      <c r="B902" s="15" t="s">
        <v>1990</v>
      </c>
      <c r="C902" s="15" t="s">
        <v>439</v>
      </c>
      <c r="D902" s="15" t="s">
        <v>1663</v>
      </c>
      <c r="E902" s="15"/>
      <c r="F902" s="17">
        <f>F903</f>
        <v>1256.7</v>
      </c>
      <c r="G902" s="17">
        <f t="shared" si="42"/>
        <v>1256.7</v>
      </c>
      <c r="H902" s="17">
        <f>H903</f>
        <v>0</v>
      </c>
    </row>
    <row r="903" spans="1:8" ht="24">
      <c r="A903" s="16" t="s">
        <v>289</v>
      </c>
      <c r="B903" s="15" t="s">
        <v>1990</v>
      </c>
      <c r="C903" s="15" t="s">
        <v>439</v>
      </c>
      <c r="D903" s="15" t="s">
        <v>702</v>
      </c>
      <c r="E903" s="15" t="s">
        <v>575</v>
      </c>
      <c r="F903" s="17">
        <f>F904</f>
        <v>1256.7</v>
      </c>
      <c r="G903" s="17">
        <f t="shared" si="42"/>
        <v>1256.7</v>
      </c>
      <c r="H903" s="18"/>
    </row>
    <row r="904" spans="1:8" ht="24">
      <c r="A904" s="16" t="s">
        <v>270</v>
      </c>
      <c r="B904" s="15" t="s">
        <v>1990</v>
      </c>
      <c r="C904" s="15" t="s">
        <v>439</v>
      </c>
      <c r="D904" s="15" t="s">
        <v>702</v>
      </c>
      <c r="E904" s="15" t="s">
        <v>271</v>
      </c>
      <c r="F904" s="17">
        <f>F905</f>
        <v>1256.7</v>
      </c>
      <c r="G904" s="17">
        <f t="shared" si="42"/>
        <v>1256.7</v>
      </c>
      <c r="H904" s="18"/>
    </row>
    <row r="905" spans="1:8" ht="24">
      <c r="A905" s="16" t="s">
        <v>269</v>
      </c>
      <c r="B905" s="15" t="s">
        <v>1990</v>
      </c>
      <c r="C905" s="15" t="s">
        <v>439</v>
      </c>
      <c r="D905" s="15" t="s">
        <v>702</v>
      </c>
      <c r="E905" s="15" t="s">
        <v>570</v>
      </c>
      <c r="F905" s="18">
        <v>1256.7</v>
      </c>
      <c r="G905" s="17">
        <f t="shared" si="42"/>
        <v>1256.7</v>
      </c>
      <c r="H905" s="18"/>
    </row>
    <row r="906" spans="1:8" ht="24.75" customHeight="1">
      <c r="A906" s="22" t="s">
        <v>366</v>
      </c>
      <c r="B906" s="21" t="s">
        <v>1652</v>
      </c>
      <c r="C906" s="21"/>
      <c r="D906" s="26"/>
      <c r="E906" s="26"/>
      <c r="F906" s="2">
        <f>F907+F960+F1008+F1021+F1042+F1063</f>
        <v>449479.3000000001</v>
      </c>
      <c r="G906" s="2">
        <f>G907+G960+G1008+G1021+G1042+G1063</f>
        <v>318995.3000000001</v>
      </c>
      <c r="H906" s="2">
        <f>H907+H960+H1008+H1021+H1042+H1063</f>
        <v>130484</v>
      </c>
    </row>
    <row r="907" spans="1:8" ht="14.25" customHeight="1">
      <c r="A907" s="29" t="s">
        <v>1141</v>
      </c>
      <c r="B907" s="15" t="s">
        <v>1652</v>
      </c>
      <c r="C907" s="15" t="s">
        <v>1624</v>
      </c>
      <c r="D907" s="39"/>
      <c r="E907" s="39"/>
      <c r="F907" s="17">
        <f>F908+F916+F935+F938+F943+F932</f>
        <v>236475.2</v>
      </c>
      <c r="G907" s="17">
        <f>F907-H907</f>
        <v>198721.2</v>
      </c>
      <c r="H907" s="17">
        <f>H908+H916+H935+H943+H932</f>
        <v>37754</v>
      </c>
    </row>
    <row r="908" spans="1:8" ht="36.75" hidden="1">
      <c r="A908" s="37" t="s">
        <v>645</v>
      </c>
      <c r="B908" s="15" t="s">
        <v>1652</v>
      </c>
      <c r="C908" s="15" t="s">
        <v>1624</v>
      </c>
      <c r="D908" s="15" t="s">
        <v>102</v>
      </c>
      <c r="E908" s="15"/>
      <c r="F908" s="17">
        <f>F909</f>
        <v>0</v>
      </c>
      <c r="G908" s="33" t="e">
        <f>G909+#REF!+G1010+G1023+G1044+G1065</f>
        <v>#REF!</v>
      </c>
      <c r="H908" s="17">
        <f>H911</f>
        <v>0</v>
      </c>
    </row>
    <row r="909" spans="1:8" ht="36.75" hidden="1">
      <c r="A909" s="62" t="s">
        <v>1892</v>
      </c>
      <c r="B909" s="15" t="s">
        <v>1652</v>
      </c>
      <c r="C909" s="15" t="s">
        <v>1624</v>
      </c>
      <c r="D909" s="15" t="s">
        <v>15</v>
      </c>
      <c r="E909" s="15" t="s">
        <v>575</v>
      </c>
      <c r="F909" s="17">
        <f>F910</f>
        <v>0</v>
      </c>
      <c r="G909" s="33" t="e">
        <f>G910+#REF!+G1011+G1024+G1045+G1066</f>
        <v>#REF!</v>
      </c>
      <c r="H909" s="17">
        <f>H911+H912</f>
        <v>0</v>
      </c>
    </row>
    <row r="910" spans="1:8" ht="24.75" hidden="1">
      <c r="A910" s="62" t="s">
        <v>867</v>
      </c>
      <c r="B910" s="15" t="s">
        <v>1652</v>
      </c>
      <c r="C910" s="15" t="s">
        <v>1624</v>
      </c>
      <c r="D910" s="15" t="s">
        <v>15</v>
      </c>
      <c r="E910" s="15" t="s">
        <v>167</v>
      </c>
      <c r="F910" s="17">
        <f>F911+F912</f>
        <v>0</v>
      </c>
      <c r="G910" s="33" t="e">
        <f>G911+#REF!+G1012+G1026+G1047+G1067</f>
        <v>#REF!</v>
      </c>
      <c r="H910" s="17">
        <f>H911+H912</f>
        <v>0</v>
      </c>
    </row>
    <row r="911" spans="1:8" ht="24.75" hidden="1">
      <c r="A911" s="62" t="s">
        <v>703</v>
      </c>
      <c r="B911" s="15" t="s">
        <v>1652</v>
      </c>
      <c r="C911" s="15" t="s">
        <v>1624</v>
      </c>
      <c r="D911" s="15" t="s">
        <v>15</v>
      </c>
      <c r="E911" s="15" t="s">
        <v>167</v>
      </c>
      <c r="F911" s="64"/>
      <c r="G911" s="33" t="e">
        <f>G912+#REF!+G1013+G1027+G1048+G1068</f>
        <v>#REF!</v>
      </c>
      <c r="H911" s="18"/>
    </row>
    <row r="912" spans="1:8" ht="36.75" hidden="1">
      <c r="A912" s="62" t="s">
        <v>807</v>
      </c>
      <c r="B912" s="15" t="s">
        <v>1652</v>
      </c>
      <c r="C912" s="15" t="s">
        <v>1624</v>
      </c>
      <c r="D912" s="15" t="s">
        <v>15</v>
      </c>
      <c r="E912" s="15" t="s">
        <v>167</v>
      </c>
      <c r="F912" s="64"/>
      <c r="G912" s="33">
        <f>G913+G965+G1014+G1029+G1050+G1069</f>
        <v>30968.9</v>
      </c>
      <c r="H912" s="18"/>
    </row>
    <row r="913" spans="1:8" ht="36.75" hidden="1">
      <c r="A913" s="36" t="s">
        <v>52</v>
      </c>
      <c r="B913" s="15" t="s">
        <v>1652</v>
      </c>
      <c r="C913" s="15" t="s">
        <v>1624</v>
      </c>
      <c r="D913" s="15" t="s">
        <v>51</v>
      </c>
      <c r="E913" s="39"/>
      <c r="F913" s="17">
        <f>F914</f>
        <v>0</v>
      </c>
      <c r="G913" s="33">
        <f>G914+G966+G1015+G1030+G1051+G1072</f>
        <v>29935.2</v>
      </c>
      <c r="H913" s="17">
        <f>H914</f>
        <v>0</v>
      </c>
    </row>
    <row r="914" spans="1:8" ht="60" hidden="1">
      <c r="A914" s="16" t="s">
        <v>1893</v>
      </c>
      <c r="B914" s="15" t="s">
        <v>1652</v>
      </c>
      <c r="C914" s="15" t="s">
        <v>1624</v>
      </c>
      <c r="D914" s="15" t="s">
        <v>428</v>
      </c>
      <c r="E914" s="39" t="s">
        <v>575</v>
      </c>
      <c r="F914" s="17">
        <f>F915</f>
        <v>0</v>
      </c>
      <c r="G914" s="33">
        <f>G915+G968+G1016+G1032+G1053+G1074</f>
        <v>29205.5</v>
      </c>
      <c r="H914" s="17">
        <f>H915</f>
        <v>0</v>
      </c>
    </row>
    <row r="915" spans="1:8" ht="24.75" hidden="1">
      <c r="A915" s="16" t="s">
        <v>359</v>
      </c>
      <c r="B915" s="15" t="s">
        <v>1652</v>
      </c>
      <c r="C915" s="15" t="s">
        <v>1624</v>
      </c>
      <c r="D915" s="15" t="s">
        <v>428</v>
      </c>
      <c r="E915" s="39" t="s">
        <v>360</v>
      </c>
      <c r="F915" s="18">
        <v>0</v>
      </c>
      <c r="G915" s="33">
        <f>G916+G969+G1017+G1033+G1054+G1077</f>
        <v>23465.5</v>
      </c>
      <c r="H915" s="18">
        <v>0</v>
      </c>
    </row>
    <row r="916" spans="1:8" ht="22.5" customHeight="1">
      <c r="A916" s="30" t="s">
        <v>651</v>
      </c>
      <c r="B916" s="15" t="s">
        <v>1652</v>
      </c>
      <c r="C916" s="15" t="s">
        <v>1624</v>
      </c>
      <c r="D916" s="15" t="s">
        <v>1886</v>
      </c>
      <c r="E916" s="39"/>
      <c r="F916" s="17">
        <f>F917+F920+F923+F926</f>
        <v>54807.6</v>
      </c>
      <c r="G916" s="17">
        <f aca="true" t="shared" si="43" ref="G916:G949">F916-H916</f>
        <v>17814.6</v>
      </c>
      <c r="H916" s="17">
        <f>H917+H920+H923+H926</f>
        <v>36993</v>
      </c>
    </row>
    <row r="917" spans="1:8" ht="50.25" customHeight="1">
      <c r="A917" s="35" t="s">
        <v>736</v>
      </c>
      <c r="B917" s="15" t="s">
        <v>1652</v>
      </c>
      <c r="C917" s="15" t="s">
        <v>1624</v>
      </c>
      <c r="D917" s="15" t="s">
        <v>683</v>
      </c>
      <c r="E917" s="39" t="s">
        <v>575</v>
      </c>
      <c r="F917" s="17">
        <f>F918</f>
        <v>35223.2</v>
      </c>
      <c r="G917" s="17">
        <f t="shared" si="43"/>
        <v>445.1999999999971</v>
      </c>
      <c r="H917" s="17">
        <f>H918</f>
        <v>34778</v>
      </c>
    </row>
    <row r="918" spans="1:8" ht="18.75" customHeight="1">
      <c r="A918" s="16" t="s">
        <v>1195</v>
      </c>
      <c r="B918" s="15" t="s">
        <v>1652</v>
      </c>
      <c r="C918" s="15" t="s">
        <v>1624</v>
      </c>
      <c r="D918" s="15" t="s">
        <v>683</v>
      </c>
      <c r="E918" s="39" t="s">
        <v>271</v>
      </c>
      <c r="F918" s="17">
        <f>F919</f>
        <v>35223.2</v>
      </c>
      <c r="G918" s="17">
        <f t="shared" si="43"/>
        <v>445.1999999999971</v>
      </c>
      <c r="H918" s="17">
        <f>H919</f>
        <v>34778</v>
      </c>
    </row>
    <row r="919" spans="1:8" ht="33.75" customHeight="1">
      <c r="A919" s="16" t="s">
        <v>269</v>
      </c>
      <c r="B919" s="15" t="s">
        <v>1652</v>
      </c>
      <c r="C919" s="15" t="s">
        <v>1624</v>
      </c>
      <c r="D919" s="15" t="s">
        <v>683</v>
      </c>
      <c r="E919" s="39" t="s">
        <v>570</v>
      </c>
      <c r="F919" s="18">
        <f>35262.2-39</f>
        <v>35223.2</v>
      </c>
      <c r="G919" s="17">
        <f t="shared" si="43"/>
        <v>445.1999999999971</v>
      </c>
      <c r="H919" s="18">
        <f>34817-39</f>
        <v>34778</v>
      </c>
    </row>
    <row r="920" spans="1:8" ht="59.25" customHeight="1">
      <c r="A920" s="35" t="s">
        <v>472</v>
      </c>
      <c r="B920" s="15" t="s">
        <v>1652</v>
      </c>
      <c r="C920" s="15" t="s">
        <v>1624</v>
      </c>
      <c r="D920" s="15" t="s">
        <v>684</v>
      </c>
      <c r="E920" s="39" t="s">
        <v>575</v>
      </c>
      <c r="F920" s="17">
        <f>F921</f>
        <v>2023</v>
      </c>
      <c r="G920" s="17">
        <f t="shared" si="43"/>
        <v>8</v>
      </c>
      <c r="H920" s="17">
        <f>H921</f>
        <v>2015</v>
      </c>
    </row>
    <row r="921" spans="1:8" ht="22.5" customHeight="1">
      <c r="A921" s="16" t="s">
        <v>1195</v>
      </c>
      <c r="B921" s="15" t="s">
        <v>1652</v>
      </c>
      <c r="C921" s="15" t="s">
        <v>1624</v>
      </c>
      <c r="D921" s="15" t="s">
        <v>684</v>
      </c>
      <c r="E921" s="39" t="s">
        <v>271</v>
      </c>
      <c r="F921" s="17">
        <f>F922</f>
        <v>2023</v>
      </c>
      <c r="G921" s="17">
        <f t="shared" si="43"/>
        <v>8</v>
      </c>
      <c r="H921" s="17">
        <f>H922</f>
        <v>2015</v>
      </c>
    </row>
    <row r="922" spans="1:8" ht="22.5" customHeight="1">
      <c r="A922" s="16" t="s">
        <v>269</v>
      </c>
      <c r="B922" s="15" t="s">
        <v>1652</v>
      </c>
      <c r="C922" s="15" t="s">
        <v>1624</v>
      </c>
      <c r="D922" s="15" t="s">
        <v>684</v>
      </c>
      <c r="E922" s="39" t="s">
        <v>570</v>
      </c>
      <c r="F922" s="18">
        <v>2023</v>
      </c>
      <c r="G922" s="17">
        <f t="shared" si="43"/>
        <v>8</v>
      </c>
      <c r="H922" s="18">
        <v>2015</v>
      </c>
    </row>
    <row r="923" spans="1:8" ht="38.25" customHeight="1">
      <c r="A923" s="16" t="s">
        <v>968</v>
      </c>
      <c r="B923" s="15" t="s">
        <v>1652</v>
      </c>
      <c r="C923" s="15" t="s">
        <v>1624</v>
      </c>
      <c r="D923" s="15" t="s">
        <v>685</v>
      </c>
      <c r="E923" s="39" t="s">
        <v>575</v>
      </c>
      <c r="F923" s="17">
        <f>F924</f>
        <v>200</v>
      </c>
      <c r="G923" s="17">
        <f t="shared" si="43"/>
        <v>0</v>
      </c>
      <c r="H923" s="17">
        <f>H924</f>
        <v>200</v>
      </c>
    </row>
    <row r="924" spans="1:8" ht="22.5" customHeight="1">
      <c r="A924" s="16" t="s">
        <v>269</v>
      </c>
      <c r="B924" s="15" t="s">
        <v>1652</v>
      </c>
      <c r="C924" s="15" t="s">
        <v>1624</v>
      </c>
      <c r="D924" s="15" t="s">
        <v>685</v>
      </c>
      <c r="E924" s="39" t="s">
        <v>271</v>
      </c>
      <c r="F924" s="17">
        <f>F925</f>
        <v>200</v>
      </c>
      <c r="G924" s="17">
        <f t="shared" si="43"/>
        <v>0</v>
      </c>
      <c r="H924" s="17">
        <f>H925</f>
        <v>200</v>
      </c>
    </row>
    <row r="925" spans="1:8" ht="22.5" customHeight="1">
      <c r="A925" s="16" t="s">
        <v>269</v>
      </c>
      <c r="B925" s="15" t="s">
        <v>1652</v>
      </c>
      <c r="C925" s="15" t="s">
        <v>1624</v>
      </c>
      <c r="D925" s="15" t="s">
        <v>685</v>
      </c>
      <c r="E925" s="39" t="s">
        <v>570</v>
      </c>
      <c r="F925" s="18">
        <v>200</v>
      </c>
      <c r="G925" s="17"/>
      <c r="H925" s="18">
        <v>200</v>
      </c>
    </row>
    <row r="926" spans="1:8" ht="24">
      <c r="A926" s="16" t="s">
        <v>1197</v>
      </c>
      <c r="B926" s="15" t="s">
        <v>1652</v>
      </c>
      <c r="C926" s="15" t="s">
        <v>1624</v>
      </c>
      <c r="D926" s="15" t="s">
        <v>1175</v>
      </c>
      <c r="E926" s="15" t="s">
        <v>575</v>
      </c>
      <c r="F926" s="17">
        <f>F927</f>
        <v>17361.4</v>
      </c>
      <c r="G926" s="17">
        <f>G927</f>
        <v>17361.4</v>
      </c>
      <c r="H926" s="17">
        <f>H927</f>
        <v>0</v>
      </c>
    </row>
    <row r="927" spans="1:8" ht="24">
      <c r="A927" s="16" t="s">
        <v>1195</v>
      </c>
      <c r="B927" s="15" t="s">
        <v>1652</v>
      </c>
      <c r="C927" s="15" t="s">
        <v>1624</v>
      </c>
      <c r="D927" s="15" t="s">
        <v>1175</v>
      </c>
      <c r="E927" s="15" t="s">
        <v>271</v>
      </c>
      <c r="F927" s="17">
        <f>F928+F929</f>
        <v>17361.4</v>
      </c>
      <c r="G927" s="17">
        <f t="shared" si="43"/>
        <v>17361.4</v>
      </c>
      <c r="H927" s="17">
        <f>H928+H929</f>
        <v>0</v>
      </c>
    </row>
    <row r="928" spans="1:8" ht="24">
      <c r="A928" s="16" t="s">
        <v>269</v>
      </c>
      <c r="B928" s="15" t="s">
        <v>1652</v>
      </c>
      <c r="C928" s="15" t="s">
        <v>1624</v>
      </c>
      <c r="D928" s="15" t="s">
        <v>1175</v>
      </c>
      <c r="E928" s="15" t="s">
        <v>570</v>
      </c>
      <c r="F928" s="18">
        <v>17361.4</v>
      </c>
      <c r="G928" s="17">
        <f t="shared" si="43"/>
        <v>17361.4</v>
      </c>
      <c r="H928" s="64">
        <v>0</v>
      </c>
    </row>
    <row r="929" spans="1:8" ht="24.75" hidden="1">
      <c r="A929" s="16" t="s">
        <v>969</v>
      </c>
      <c r="B929" s="15" t="s">
        <v>1652</v>
      </c>
      <c r="C929" s="15" t="s">
        <v>1624</v>
      </c>
      <c r="D929" s="15" t="s">
        <v>1175</v>
      </c>
      <c r="E929" s="15" t="s">
        <v>180</v>
      </c>
      <c r="F929" s="17">
        <f>F930+F931</f>
        <v>0</v>
      </c>
      <c r="G929" s="17">
        <f t="shared" si="43"/>
        <v>0</v>
      </c>
      <c r="H929" s="64"/>
    </row>
    <row r="930" spans="1:8" ht="108" hidden="1">
      <c r="A930" s="16" t="s">
        <v>1062</v>
      </c>
      <c r="B930" s="15" t="s">
        <v>1652</v>
      </c>
      <c r="C930" s="15" t="s">
        <v>1624</v>
      </c>
      <c r="D930" s="15" t="s">
        <v>1175</v>
      </c>
      <c r="E930" s="15" t="s">
        <v>180</v>
      </c>
      <c r="F930" s="18"/>
      <c r="G930" s="17">
        <f t="shared" si="43"/>
        <v>0</v>
      </c>
      <c r="H930" s="64"/>
    </row>
    <row r="931" spans="1:8" ht="24.75" hidden="1">
      <c r="A931" s="16" t="s">
        <v>970</v>
      </c>
      <c r="B931" s="15" t="s">
        <v>1652</v>
      </c>
      <c r="C931" s="15" t="s">
        <v>1624</v>
      </c>
      <c r="D931" s="15" t="s">
        <v>1612</v>
      </c>
      <c r="E931" s="15" t="s">
        <v>180</v>
      </c>
      <c r="F931" s="18"/>
      <c r="G931" s="17">
        <f t="shared" si="43"/>
        <v>0</v>
      </c>
      <c r="H931" s="64"/>
    </row>
    <row r="932" spans="1:8" ht="96" hidden="1">
      <c r="A932" s="16" t="s">
        <v>967</v>
      </c>
      <c r="B932" s="15" t="s">
        <v>1652</v>
      </c>
      <c r="C932" s="15" t="s">
        <v>1624</v>
      </c>
      <c r="D932" s="15" t="s">
        <v>686</v>
      </c>
      <c r="E932" s="15" t="s">
        <v>575</v>
      </c>
      <c r="F932" s="17">
        <f>F933</f>
        <v>0</v>
      </c>
      <c r="G932" s="17">
        <f t="shared" si="43"/>
        <v>0</v>
      </c>
      <c r="H932" s="180">
        <f>H933</f>
        <v>0</v>
      </c>
    </row>
    <row r="933" spans="1:8" ht="24.75" hidden="1">
      <c r="A933" s="16" t="s">
        <v>1195</v>
      </c>
      <c r="B933" s="15" t="s">
        <v>1652</v>
      </c>
      <c r="C933" s="15" t="s">
        <v>1624</v>
      </c>
      <c r="D933" s="15" t="s">
        <v>686</v>
      </c>
      <c r="E933" s="15" t="s">
        <v>271</v>
      </c>
      <c r="F933" s="17">
        <f>F934</f>
        <v>0</v>
      </c>
      <c r="G933" s="17">
        <f t="shared" si="43"/>
        <v>0</v>
      </c>
      <c r="H933" s="180">
        <f>H934</f>
        <v>0</v>
      </c>
    </row>
    <row r="934" spans="1:8" ht="24.75" hidden="1">
      <c r="A934" s="16" t="s">
        <v>269</v>
      </c>
      <c r="B934" s="15" t="s">
        <v>1652</v>
      </c>
      <c r="C934" s="15" t="s">
        <v>1624</v>
      </c>
      <c r="D934" s="15" t="s">
        <v>686</v>
      </c>
      <c r="E934" s="15" t="s">
        <v>570</v>
      </c>
      <c r="F934" s="18">
        <v>0</v>
      </c>
      <c r="G934" s="17">
        <f>F934-H934</f>
        <v>0</v>
      </c>
      <c r="H934" s="64">
        <v>0</v>
      </c>
    </row>
    <row r="935" spans="1:8" ht="60">
      <c r="A935" s="181" t="s">
        <v>825</v>
      </c>
      <c r="B935" s="15" t="s">
        <v>1652</v>
      </c>
      <c r="C935" s="15" t="s">
        <v>1624</v>
      </c>
      <c r="D935" s="15" t="s">
        <v>2</v>
      </c>
      <c r="E935" s="15" t="s">
        <v>575</v>
      </c>
      <c r="F935" s="17">
        <f>F936</f>
        <v>761</v>
      </c>
      <c r="G935" s="17">
        <f>F935-H935</f>
        <v>0</v>
      </c>
      <c r="H935" s="180">
        <f>H936</f>
        <v>761</v>
      </c>
    </row>
    <row r="936" spans="1:8" ht="24">
      <c r="A936" s="16" t="s">
        <v>1195</v>
      </c>
      <c r="B936" s="15" t="s">
        <v>1652</v>
      </c>
      <c r="C936" s="15" t="s">
        <v>1624</v>
      </c>
      <c r="D936" s="15" t="s">
        <v>2</v>
      </c>
      <c r="E936" s="15" t="s">
        <v>271</v>
      </c>
      <c r="F936" s="17">
        <f>F937</f>
        <v>761</v>
      </c>
      <c r="G936" s="17">
        <f t="shared" si="43"/>
        <v>0</v>
      </c>
      <c r="H936" s="180">
        <f>H937</f>
        <v>761</v>
      </c>
    </row>
    <row r="937" spans="1:8" ht="24">
      <c r="A937" s="16" t="s">
        <v>269</v>
      </c>
      <c r="B937" s="15" t="s">
        <v>1652</v>
      </c>
      <c r="C937" s="15" t="s">
        <v>1624</v>
      </c>
      <c r="D937" s="15" t="s">
        <v>2</v>
      </c>
      <c r="E937" s="15" t="s">
        <v>570</v>
      </c>
      <c r="F937" s="18">
        <v>761</v>
      </c>
      <c r="G937" s="17"/>
      <c r="H937" s="64">
        <v>761</v>
      </c>
    </row>
    <row r="938" spans="1:8" ht="36.75" customHeight="1">
      <c r="A938" s="16" t="s">
        <v>638</v>
      </c>
      <c r="B938" s="15" t="s">
        <v>1652</v>
      </c>
      <c r="C938" s="15" t="s">
        <v>1624</v>
      </c>
      <c r="D938" s="15" t="s">
        <v>290</v>
      </c>
      <c r="E938" s="15"/>
      <c r="F938" s="17">
        <f>F939+F941</f>
        <v>117500</v>
      </c>
      <c r="G938" s="17">
        <f t="shared" si="43"/>
        <v>117500</v>
      </c>
      <c r="H938" s="64"/>
    </row>
    <row r="939" spans="1:8" ht="48">
      <c r="A939" s="16" t="s">
        <v>293</v>
      </c>
      <c r="B939" s="15" t="s">
        <v>1652</v>
      </c>
      <c r="C939" s="15" t="s">
        <v>1624</v>
      </c>
      <c r="D939" s="15" t="s">
        <v>291</v>
      </c>
      <c r="E939" s="15" t="s">
        <v>575</v>
      </c>
      <c r="F939" s="17">
        <f>F940</f>
        <v>32500</v>
      </c>
      <c r="G939" s="17">
        <f t="shared" si="43"/>
        <v>32500</v>
      </c>
      <c r="H939" s="64"/>
    </row>
    <row r="940" spans="1:8" ht="20.25" customHeight="1">
      <c r="A940" s="16" t="s">
        <v>1988</v>
      </c>
      <c r="B940" s="15" t="s">
        <v>1652</v>
      </c>
      <c r="C940" s="15" t="s">
        <v>1624</v>
      </c>
      <c r="D940" s="15" t="s">
        <v>291</v>
      </c>
      <c r="E940" s="15" t="s">
        <v>180</v>
      </c>
      <c r="F940" s="18">
        <v>32500</v>
      </c>
      <c r="G940" s="17">
        <f t="shared" si="43"/>
        <v>32500</v>
      </c>
      <c r="H940" s="64"/>
    </row>
    <row r="941" spans="1:8" ht="48">
      <c r="A941" s="16" t="s">
        <v>639</v>
      </c>
      <c r="B941" s="15" t="s">
        <v>1652</v>
      </c>
      <c r="C941" s="15" t="s">
        <v>1624</v>
      </c>
      <c r="D941" s="15" t="s">
        <v>292</v>
      </c>
      <c r="E941" s="15" t="s">
        <v>575</v>
      </c>
      <c r="F941" s="17">
        <f>F942</f>
        <v>85000</v>
      </c>
      <c r="G941" s="17">
        <f t="shared" si="43"/>
        <v>85000</v>
      </c>
      <c r="H941" s="18"/>
    </row>
    <row r="942" spans="1:8" ht="20.25" customHeight="1">
      <c r="A942" s="16" t="s">
        <v>1988</v>
      </c>
      <c r="B942" s="15" t="s">
        <v>1652</v>
      </c>
      <c r="C942" s="15" t="s">
        <v>1624</v>
      </c>
      <c r="D942" s="15" t="s">
        <v>292</v>
      </c>
      <c r="E942" s="15" t="s">
        <v>180</v>
      </c>
      <c r="F942" s="18">
        <f>90000-5000</f>
        <v>85000</v>
      </c>
      <c r="G942" s="17">
        <f t="shared" si="43"/>
        <v>85000</v>
      </c>
      <c r="H942" s="18"/>
    </row>
    <row r="943" spans="1:8" ht="24">
      <c r="A943" s="31" t="s">
        <v>1664</v>
      </c>
      <c r="B943" s="15" t="s">
        <v>1652</v>
      </c>
      <c r="C943" s="15" t="s">
        <v>1624</v>
      </c>
      <c r="D943" s="15" t="s">
        <v>1663</v>
      </c>
      <c r="E943" s="15"/>
      <c r="F943" s="17">
        <f>F944+F947</f>
        <v>63406.600000000006</v>
      </c>
      <c r="G943" s="17">
        <f t="shared" si="43"/>
        <v>63406.600000000006</v>
      </c>
      <c r="H943" s="17">
        <f>H944</f>
        <v>0</v>
      </c>
    </row>
    <row r="944" spans="1:8" ht="36" hidden="1">
      <c r="A944" s="16" t="s">
        <v>922</v>
      </c>
      <c r="B944" s="15" t="s">
        <v>1652</v>
      </c>
      <c r="C944" s="15" t="s">
        <v>1624</v>
      </c>
      <c r="D944" s="52" t="s">
        <v>853</v>
      </c>
      <c r="E944" s="52"/>
      <c r="F944" s="17">
        <f>F945</f>
        <v>0</v>
      </c>
      <c r="G944" s="17">
        <f t="shared" si="43"/>
        <v>0</v>
      </c>
      <c r="H944" s="17">
        <f>H945</f>
        <v>0</v>
      </c>
    </row>
    <row r="945" spans="1:8" ht="24.75" hidden="1">
      <c r="A945" s="16" t="s">
        <v>270</v>
      </c>
      <c r="B945" s="15" t="s">
        <v>1652</v>
      </c>
      <c r="C945" s="15" t="s">
        <v>1624</v>
      </c>
      <c r="D945" s="52" t="s">
        <v>853</v>
      </c>
      <c r="E945" s="52" t="s">
        <v>271</v>
      </c>
      <c r="F945" s="17">
        <f>F946</f>
        <v>0</v>
      </c>
      <c r="G945" s="17">
        <f t="shared" si="43"/>
        <v>0</v>
      </c>
      <c r="H945" s="17">
        <f>H946</f>
        <v>0</v>
      </c>
    </row>
    <row r="946" spans="1:8" ht="24.75" hidden="1">
      <c r="A946" s="121" t="s">
        <v>269</v>
      </c>
      <c r="B946" s="15" t="s">
        <v>1652</v>
      </c>
      <c r="C946" s="15" t="s">
        <v>1624</v>
      </c>
      <c r="D946" s="52" t="s">
        <v>853</v>
      </c>
      <c r="E946" s="52" t="s">
        <v>570</v>
      </c>
      <c r="F946" s="18">
        <v>0</v>
      </c>
      <c r="G946" s="17">
        <f t="shared" si="43"/>
        <v>0</v>
      </c>
      <c r="H946" s="18">
        <v>0</v>
      </c>
    </row>
    <row r="947" spans="1:8" ht="36">
      <c r="A947" s="121" t="s">
        <v>1085</v>
      </c>
      <c r="B947" s="15" t="s">
        <v>1652</v>
      </c>
      <c r="C947" s="15" t="s">
        <v>1624</v>
      </c>
      <c r="D947" s="52" t="s">
        <v>1615</v>
      </c>
      <c r="E947" s="52" t="s">
        <v>575</v>
      </c>
      <c r="F947" s="17">
        <f>F948</f>
        <v>63406.600000000006</v>
      </c>
      <c r="G947" s="17">
        <f t="shared" si="43"/>
        <v>63406.600000000006</v>
      </c>
      <c r="H947" s="18"/>
    </row>
    <row r="948" spans="1:8" ht="24">
      <c r="A948" s="16" t="s">
        <v>1195</v>
      </c>
      <c r="B948" s="15" t="s">
        <v>1652</v>
      </c>
      <c r="C948" s="15" t="s">
        <v>1624</v>
      </c>
      <c r="D948" s="15" t="s">
        <v>1615</v>
      </c>
      <c r="E948" s="15" t="s">
        <v>271</v>
      </c>
      <c r="F948" s="17">
        <f>F949</f>
        <v>63406.600000000006</v>
      </c>
      <c r="G948" s="17">
        <f t="shared" si="43"/>
        <v>63406.600000000006</v>
      </c>
      <c r="H948" s="18"/>
    </row>
    <row r="949" spans="1:8" ht="24">
      <c r="A949" s="16" t="s">
        <v>969</v>
      </c>
      <c r="B949" s="15" t="s">
        <v>1652</v>
      </c>
      <c r="C949" s="15" t="s">
        <v>1624</v>
      </c>
      <c r="D949" s="15" t="s">
        <v>1615</v>
      </c>
      <c r="E949" s="15" t="s">
        <v>180</v>
      </c>
      <c r="F949" s="17">
        <f>F950+F951+F952+F953+F954+F955+F956+F957+F958+F959</f>
        <v>63406.600000000006</v>
      </c>
      <c r="G949" s="17">
        <f t="shared" si="43"/>
        <v>63406.600000000006</v>
      </c>
      <c r="H949" s="18"/>
    </row>
    <row r="950" spans="1:8" ht="96" hidden="1">
      <c r="A950" s="16" t="s">
        <v>1086</v>
      </c>
      <c r="B950" s="15" t="s">
        <v>1652</v>
      </c>
      <c r="C950" s="15" t="s">
        <v>1624</v>
      </c>
      <c r="D950" s="15" t="s">
        <v>1615</v>
      </c>
      <c r="E950" s="15" t="s">
        <v>180</v>
      </c>
      <c r="F950" s="18"/>
      <c r="G950" s="17">
        <f aca="true" t="shared" si="44" ref="G950:G959">F950-H950</f>
        <v>0</v>
      </c>
      <c r="H950" s="64"/>
    </row>
    <row r="951" spans="1:8" ht="36">
      <c r="A951" s="16" t="s">
        <v>125</v>
      </c>
      <c r="B951" s="15" t="s">
        <v>1652</v>
      </c>
      <c r="C951" s="15" t="s">
        <v>1624</v>
      </c>
      <c r="D951" s="15" t="s">
        <v>1615</v>
      </c>
      <c r="E951" s="15" t="s">
        <v>180</v>
      </c>
      <c r="F951" s="18">
        <f>2818+3542-1296-1032.4+5950</f>
        <v>9981.6</v>
      </c>
      <c r="G951" s="17">
        <f t="shared" si="44"/>
        <v>9981.6</v>
      </c>
      <c r="H951" s="64"/>
    </row>
    <row r="952" spans="1:8" ht="24">
      <c r="A952" s="16" t="s">
        <v>1983</v>
      </c>
      <c r="B952" s="15" t="s">
        <v>1652</v>
      </c>
      <c r="C952" s="15" t="s">
        <v>1624</v>
      </c>
      <c r="D952" s="15" t="s">
        <v>1615</v>
      </c>
      <c r="E952" s="15" t="s">
        <v>180</v>
      </c>
      <c r="F952" s="18">
        <f>3000+1692.7-527.1-998.1</f>
        <v>3167.4999999999995</v>
      </c>
      <c r="G952" s="17">
        <f t="shared" si="44"/>
        <v>3167.4999999999995</v>
      </c>
      <c r="H952" s="64"/>
    </row>
    <row r="953" spans="1:8" ht="24">
      <c r="A953" s="16" t="s">
        <v>369</v>
      </c>
      <c r="B953" s="15" t="s">
        <v>1652</v>
      </c>
      <c r="C953" s="15" t="s">
        <v>1624</v>
      </c>
      <c r="D953" s="15" t="s">
        <v>1615</v>
      </c>
      <c r="E953" s="15" t="s">
        <v>180</v>
      </c>
      <c r="F953" s="18">
        <f>147.8+99.6-0.1+1773.6+5547.2+905.2+9595-0.1-4336.5</f>
        <v>13731.7</v>
      </c>
      <c r="G953" s="17">
        <f t="shared" si="44"/>
        <v>13731.7</v>
      </c>
      <c r="H953" s="64"/>
    </row>
    <row r="954" spans="1:8" ht="84">
      <c r="A954" s="16" t="s">
        <v>1932</v>
      </c>
      <c r="B954" s="15" t="s">
        <v>1652</v>
      </c>
      <c r="C954" s="15" t="s">
        <v>1624</v>
      </c>
      <c r="D954" s="15" t="s">
        <v>1615</v>
      </c>
      <c r="E954" s="15" t="s">
        <v>180</v>
      </c>
      <c r="F954" s="18">
        <f>14880.7+5325.1+258.9+288.9+182.6+2256.3+3542+800+657.2-3542+1296+1032.4+0.1-209.4+400-101.6-6.5+550-1032.4-320.2+260.3-200+2373</f>
        <v>28691.4</v>
      </c>
      <c r="G954" s="17">
        <f t="shared" si="44"/>
        <v>28691.4</v>
      </c>
      <c r="H954" s="64"/>
    </row>
    <row r="955" spans="1:8" ht="24">
      <c r="A955" s="16" t="s">
        <v>1931</v>
      </c>
      <c r="B955" s="15" t="s">
        <v>1652</v>
      </c>
      <c r="C955" s="15" t="s">
        <v>1624</v>
      </c>
      <c r="D955" s="15" t="s">
        <v>1615</v>
      </c>
      <c r="E955" s="15" t="s">
        <v>180</v>
      </c>
      <c r="F955" s="18">
        <v>29</v>
      </c>
      <c r="G955" s="17">
        <f t="shared" si="44"/>
        <v>29</v>
      </c>
      <c r="H955" s="64"/>
    </row>
    <row r="956" spans="1:8" ht="27.75" customHeight="1">
      <c r="A956" s="16" t="s">
        <v>895</v>
      </c>
      <c r="B956" s="15" t="s">
        <v>1652</v>
      </c>
      <c r="C956" s="15" t="s">
        <v>1624</v>
      </c>
      <c r="D956" s="15" t="s">
        <v>1615</v>
      </c>
      <c r="E956" s="15" t="s">
        <v>180</v>
      </c>
      <c r="F956" s="18">
        <v>411.7</v>
      </c>
      <c r="G956" s="17">
        <f t="shared" si="44"/>
        <v>411.7</v>
      </c>
      <c r="H956" s="64"/>
    </row>
    <row r="957" spans="1:8" ht="36">
      <c r="A957" s="16" t="s">
        <v>896</v>
      </c>
      <c r="B957" s="15" t="s">
        <v>1652</v>
      </c>
      <c r="C957" s="15" t="s">
        <v>1624</v>
      </c>
      <c r="D957" s="15" t="s">
        <v>1615</v>
      </c>
      <c r="E957" s="15" t="s">
        <v>180</v>
      </c>
      <c r="F957" s="18">
        <v>132</v>
      </c>
      <c r="G957" s="17">
        <f t="shared" si="44"/>
        <v>132</v>
      </c>
      <c r="H957" s="64"/>
    </row>
    <row r="958" spans="1:8" ht="24">
      <c r="A958" s="16" t="s">
        <v>1985</v>
      </c>
      <c r="B958" s="15" t="s">
        <v>1652</v>
      </c>
      <c r="C958" s="15" t="s">
        <v>1624</v>
      </c>
      <c r="D958" s="15" t="s">
        <v>1615</v>
      </c>
      <c r="E958" s="15" t="s">
        <v>180</v>
      </c>
      <c r="F958" s="18">
        <f>395+11.9</f>
        <v>406.9</v>
      </c>
      <c r="G958" s="17">
        <f t="shared" si="44"/>
        <v>406.9</v>
      </c>
      <c r="H958" s="64"/>
    </row>
    <row r="959" spans="1:8" ht="24">
      <c r="A959" s="16" t="s">
        <v>1479</v>
      </c>
      <c r="B959" s="15" t="s">
        <v>1652</v>
      </c>
      <c r="C959" s="15" t="s">
        <v>1624</v>
      </c>
      <c r="D959" s="15" t="s">
        <v>1615</v>
      </c>
      <c r="E959" s="15" t="s">
        <v>180</v>
      </c>
      <c r="F959" s="18">
        <v>6854.8</v>
      </c>
      <c r="G959" s="17">
        <f t="shared" si="44"/>
        <v>6854.8</v>
      </c>
      <c r="H959" s="64"/>
    </row>
    <row r="960" spans="1:8" ht="15">
      <c r="A960" s="75" t="s">
        <v>1057</v>
      </c>
      <c r="B960" s="15" t="s">
        <v>1652</v>
      </c>
      <c r="C960" s="15" t="s">
        <v>923</v>
      </c>
      <c r="D960" s="15"/>
      <c r="E960" s="15"/>
      <c r="F960" s="17">
        <f>F961+F979+F986+F993</f>
        <v>118082.1</v>
      </c>
      <c r="G960" s="17">
        <f aca="true" t="shared" si="45" ref="G960:G1009">F960-H960</f>
        <v>85289.1</v>
      </c>
      <c r="H960" s="17">
        <f>H961+H979+H986+H993</f>
        <v>32793</v>
      </c>
    </row>
    <row r="961" spans="1:8" ht="24">
      <c r="A961" s="31" t="s">
        <v>1639</v>
      </c>
      <c r="B961" s="15" t="s">
        <v>1652</v>
      </c>
      <c r="C961" s="15" t="s">
        <v>923</v>
      </c>
      <c r="D961" s="15" t="s">
        <v>1627</v>
      </c>
      <c r="E961" s="15"/>
      <c r="F961" s="17">
        <f>F962+F965+F968+F971</f>
        <v>36423.1</v>
      </c>
      <c r="G961" s="17">
        <f t="shared" si="45"/>
        <v>26166.1</v>
      </c>
      <c r="H961" s="17">
        <f>H962+H965+H968+H971</f>
        <v>10257</v>
      </c>
    </row>
    <row r="962" spans="1:8" ht="48">
      <c r="A962" s="16" t="s">
        <v>837</v>
      </c>
      <c r="B962" s="15" t="s">
        <v>1652</v>
      </c>
      <c r="C962" s="15" t="s">
        <v>923</v>
      </c>
      <c r="D962" s="15" t="s">
        <v>687</v>
      </c>
      <c r="E962" s="15" t="s">
        <v>575</v>
      </c>
      <c r="F962" s="17">
        <f>F963</f>
        <v>9578.7</v>
      </c>
      <c r="G962" s="17">
        <f t="shared" si="45"/>
        <v>448.2000000000007</v>
      </c>
      <c r="H962" s="17">
        <f>H963</f>
        <v>9130.5</v>
      </c>
    </row>
    <row r="963" spans="1:8" ht="24">
      <c r="A963" s="16" t="s">
        <v>1195</v>
      </c>
      <c r="B963" s="15" t="s">
        <v>1652</v>
      </c>
      <c r="C963" s="15" t="s">
        <v>923</v>
      </c>
      <c r="D963" s="15" t="s">
        <v>687</v>
      </c>
      <c r="E963" s="15" t="s">
        <v>271</v>
      </c>
      <c r="F963" s="17">
        <f>F964</f>
        <v>9578.7</v>
      </c>
      <c r="G963" s="17">
        <f t="shared" si="45"/>
        <v>448.2000000000007</v>
      </c>
      <c r="H963" s="17">
        <f>H964</f>
        <v>9130.5</v>
      </c>
    </row>
    <row r="964" spans="1:8" ht="24">
      <c r="A964" s="16" t="s">
        <v>269</v>
      </c>
      <c r="B964" s="15" t="s">
        <v>1652</v>
      </c>
      <c r="C964" s="15" t="s">
        <v>923</v>
      </c>
      <c r="D964" s="15" t="s">
        <v>687</v>
      </c>
      <c r="E964" s="15" t="s">
        <v>570</v>
      </c>
      <c r="F964" s="18">
        <f>9539.7+39</f>
        <v>9578.7</v>
      </c>
      <c r="G964" s="18">
        <f t="shared" si="45"/>
        <v>448.2000000000007</v>
      </c>
      <c r="H964" s="18">
        <f>9091.5+39</f>
        <v>9130.5</v>
      </c>
    </row>
    <row r="965" spans="1:8" ht="60">
      <c r="A965" s="16" t="s">
        <v>476</v>
      </c>
      <c r="B965" s="15" t="s">
        <v>1652</v>
      </c>
      <c r="C965" s="15" t="s">
        <v>923</v>
      </c>
      <c r="D965" s="15" t="s">
        <v>838</v>
      </c>
      <c r="E965" s="15" t="s">
        <v>575</v>
      </c>
      <c r="F965" s="17">
        <f>F966</f>
        <v>970.4</v>
      </c>
      <c r="G965" s="17">
        <f t="shared" si="45"/>
        <v>93.89999999999998</v>
      </c>
      <c r="H965" s="17">
        <f>H966</f>
        <v>876.5</v>
      </c>
    </row>
    <row r="966" spans="1:8" ht="24">
      <c r="A966" s="16" t="s">
        <v>372</v>
      </c>
      <c r="B966" s="15" t="s">
        <v>1652</v>
      </c>
      <c r="C966" s="15" t="s">
        <v>923</v>
      </c>
      <c r="D966" s="15" t="s">
        <v>838</v>
      </c>
      <c r="E966" s="15" t="s">
        <v>271</v>
      </c>
      <c r="F966" s="17">
        <f>F967</f>
        <v>970.4</v>
      </c>
      <c r="G966" s="17">
        <f t="shared" si="45"/>
        <v>93.89999999999998</v>
      </c>
      <c r="H966" s="17">
        <f>H967</f>
        <v>876.5</v>
      </c>
    </row>
    <row r="967" spans="1:8" ht="24">
      <c r="A967" s="16" t="s">
        <v>269</v>
      </c>
      <c r="B967" s="15" t="s">
        <v>1652</v>
      </c>
      <c r="C967" s="15" t="s">
        <v>923</v>
      </c>
      <c r="D967" s="15" t="s">
        <v>838</v>
      </c>
      <c r="E967" s="15" t="s">
        <v>570</v>
      </c>
      <c r="F967" s="18">
        <v>970.4</v>
      </c>
      <c r="G967" s="17">
        <f t="shared" si="45"/>
        <v>93.89999999999998</v>
      </c>
      <c r="H967" s="18">
        <v>876.5</v>
      </c>
    </row>
    <row r="968" spans="1:8" ht="48">
      <c r="A968" s="16" t="s">
        <v>1668</v>
      </c>
      <c r="B968" s="15" t="s">
        <v>1652</v>
      </c>
      <c r="C968" s="15" t="s">
        <v>923</v>
      </c>
      <c r="D968" s="15" t="s">
        <v>839</v>
      </c>
      <c r="E968" s="15" t="s">
        <v>575</v>
      </c>
      <c r="F968" s="17">
        <f>F969</f>
        <v>250</v>
      </c>
      <c r="G968" s="17">
        <f t="shared" si="45"/>
        <v>0</v>
      </c>
      <c r="H968" s="17">
        <f>H969</f>
        <v>250</v>
      </c>
    </row>
    <row r="969" spans="1:8" ht="24">
      <c r="A969" s="16" t="s">
        <v>1195</v>
      </c>
      <c r="B969" s="15" t="s">
        <v>1652</v>
      </c>
      <c r="C969" s="15" t="s">
        <v>923</v>
      </c>
      <c r="D969" s="15" t="s">
        <v>839</v>
      </c>
      <c r="E969" s="15" t="s">
        <v>271</v>
      </c>
      <c r="F969" s="17">
        <f>F970</f>
        <v>250</v>
      </c>
      <c r="G969" s="17">
        <f t="shared" si="45"/>
        <v>0</v>
      </c>
      <c r="H969" s="17">
        <f>H970</f>
        <v>250</v>
      </c>
    </row>
    <row r="970" spans="1:8" ht="24">
      <c r="A970" s="16" t="s">
        <v>269</v>
      </c>
      <c r="B970" s="15" t="s">
        <v>1652</v>
      </c>
      <c r="C970" s="15" t="s">
        <v>923</v>
      </c>
      <c r="D970" s="15" t="s">
        <v>839</v>
      </c>
      <c r="E970" s="15" t="s">
        <v>570</v>
      </c>
      <c r="F970" s="18">
        <v>250</v>
      </c>
      <c r="G970" s="17">
        <f t="shared" si="45"/>
        <v>0</v>
      </c>
      <c r="H970" s="18">
        <v>250</v>
      </c>
    </row>
    <row r="971" spans="1:8" ht="24">
      <c r="A971" s="16" t="s">
        <v>2002</v>
      </c>
      <c r="B971" s="15" t="s">
        <v>1652</v>
      </c>
      <c r="C971" s="15" t="s">
        <v>923</v>
      </c>
      <c r="D971" s="15" t="s">
        <v>1058</v>
      </c>
      <c r="E971" s="158" t="s">
        <v>575</v>
      </c>
      <c r="F971" s="17">
        <f>F972</f>
        <v>25624</v>
      </c>
      <c r="G971" s="17">
        <f t="shared" si="45"/>
        <v>25624</v>
      </c>
      <c r="H971" s="17">
        <f>H972</f>
        <v>0</v>
      </c>
    </row>
    <row r="972" spans="1:8" ht="24">
      <c r="A972" s="16" t="s">
        <v>1195</v>
      </c>
      <c r="B972" s="15" t="s">
        <v>1652</v>
      </c>
      <c r="C972" s="15" t="s">
        <v>923</v>
      </c>
      <c r="D972" s="15" t="s">
        <v>1058</v>
      </c>
      <c r="E972" s="15" t="s">
        <v>271</v>
      </c>
      <c r="F972" s="17">
        <f>F973+F974</f>
        <v>25624</v>
      </c>
      <c r="G972" s="17">
        <f t="shared" si="45"/>
        <v>25624</v>
      </c>
      <c r="H972" s="17">
        <f>H973+H974</f>
        <v>0</v>
      </c>
    </row>
    <row r="973" spans="1:8" ht="24">
      <c r="A973" s="16" t="s">
        <v>269</v>
      </c>
      <c r="B973" s="15" t="s">
        <v>1652</v>
      </c>
      <c r="C973" s="15" t="s">
        <v>923</v>
      </c>
      <c r="D973" s="15" t="s">
        <v>1058</v>
      </c>
      <c r="E973" s="15" t="s">
        <v>570</v>
      </c>
      <c r="F973" s="18">
        <f>4640+1000+10424+7292-7292+2636+275+5513-447+2883-1000-300</f>
        <v>25624</v>
      </c>
      <c r="G973" s="17">
        <f t="shared" si="45"/>
        <v>25624</v>
      </c>
      <c r="H973" s="18">
        <v>0</v>
      </c>
    </row>
    <row r="974" spans="1:8" ht="24.75" hidden="1">
      <c r="A974" s="16" t="s">
        <v>969</v>
      </c>
      <c r="B974" s="15" t="s">
        <v>1652</v>
      </c>
      <c r="C974" s="15" t="s">
        <v>923</v>
      </c>
      <c r="D974" s="15" t="s">
        <v>1058</v>
      </c>
      <c r="E974" s="15" t="s">
        <v>180</v>
      </c>
      <c r="F974" s="17">
        <f>F975+F976+F977+F978</f>
        <v>0</v>
      </c>
      <c r="G974" s="17">
        <f t="shared" si="45"/>
        <v>0</v>
      </c>
      <c r="H974" s="18"/>
    </row>
    <row r="975" spans="1:8" ht="120" hidden="1">
      <c r="A975" s="16" t="s">
        <v>2012</v>
      </c>
      <c r="B975" s="15" t="s">
        <v>1652</v>
      </c>
      <c r="C975" s="15" t="s">
        <v>923</v>
      </c>
      <c r="D975" s="15" t="s">
        <v>1058</v>
      </c>
      <c r="E975" s="15" t="s">
        <v>180</v>
      </c>
      <c r="F975" s="18"/>
      <c r="G975" s="17">
        <f t="shared" si="45"/>
        <v>0</v>
      </c>
      <c r="H975" s="18"/>
    </row>
    <row r="976" spans="1:8" ht="96" hidden="1">
      <c r="A976" s="16" t="s">
        <v>83</v>
      </c>
      <c r="B976" s="15" t="s">
        <v>1652</v>
      </c>
      <c r="C976" s="15" t="s">
        <v>923</v>
      </c>
      <c r="D976" s="15" t="s">
        <v>1940</v>
      </c>
      <c r="E976" s="15" t="s">
        <v>180</v>
      </c>
      <c r="F976" s="18">
        <v>0</v>
      </c>
      <c r="G976" s="17">
        <f t="shared" si="45"/>
        <v>0</v>
      </c>
      <c r="H976" s="18"/>
    </row>
    <row r="977" spans="1:8" ht="36" hidden="1">
      <c r="A977" s="16" t="s">
        <v>1613</v>
      </c>
      <c r="B977" s="15" t="s">
        <v>1652</v>
      </c>
      <c r="C977" s="15" t="s">
        <v>923</v>
      </c>
      <c r="D977" s="15" t="s">
        <v>1952</v>
      </c>
      <c r="E977" s="15" t="s">
        <v>180</v>
      </c>
      <c r="F977" s="18"/>
      <c r="G977" s="17">
        <f t="shared" si="45"/>
        <v>0</v>
      </c>
      <c r="H977" s="18"/>
    </row>
    <row r="978" spans="1:8" ht="60" hidden="1">
      <c r="A978" s="16" t="s">
        <v>1090</v>
      </c>
      <c r="B978" s="15" t="s">
        <v>1652</v>
      </c>
      <c r="C978" s="15" t="s">
        <v>923</v>
      </c>
      <c r="D978" s="15" t="s">
        <v>1614</v>
      </c>
      <c r="E978" s="15" t="s">
        <v>180</v>
      </c>
      <c r="F978" s="18"/>
      <c r="G978" s="17">
        <f t="shared" si="45"/>
        <v>0</v>
      </c>
      <c r="H978" s="18"/>
    </row>
    <row r="979" spans="1:8" ht="15">
      <c r="A979" s="31" t="s">
        <v>1640</v>
      </c>
      <c r="B979" s="15" t="s">
        <v>1652</v>
      </c>
      <c r="C979" s="15" t="s">
        <v>923</v>
      </c>
      <c r="D979" s="15" t="s">
        <v>1370</v>
      </c>
      <c r="E979" s="15"/>
      <c r="F979" s="17">
        <f>F980+F982+F984</f>
        <v>3505</v>
      </c>
      <c r="G979" s="17">
        <f t="shared" si="45"/>
        <v>3505</v>
      </c>
      <c r="H979" s="17">
        <f>H980+H982+H984</f>
        <v>0</v>
      </c>
    </row>
    <row r="980" spans="1:8" ht="36.75" customHeight="1" hidden="1">
      <c r="A980" s="16" t="s">
        <v>1137</v>
      </c>
      <c r="B980" s="15" t="s">
        <v>1652</v>
      </c>
      <c r="C980" s="15" t="s">
        <v>923</v>
      </c>
      <c r="D980" s="15" t="s">
        <v>477</v>
      </c>
      <c r="E980" s="15" t="s">
        <v>575</v>
      </c>
      <c r="F980" s="17">
        <f>F981</f>
        <v>0</v>
      </c>
      <c r="G980" s="17">
        <f t="shared" si="45"/>
        <v>0</v>
      </c>
      <c r="H980" s="17">
        <f>H981</f>
        <v>0</v>
      </c>
    </row>
    <row r="981" spans="1:8" ht="21" customHeight="1" hidden="1">
      <c r="A981" s="16" t="s">
        <v>1195</v>
      </c>
      <c r="B981" s="15" t="s">
        <v>1652</v>
      </c>
      <c r="C981" s="15" t="s">
        <v>923</v>
      </c>
      <c r="D981" s="15" t="s">
        <v>477</v>
      </c>
      <c r="E981" s="15" t="s">
        <v>271</v>
      </c>
      <c r="F981" s="18">
        <v>0</v>
      </c>
      <c r="G981" s="17">
        <f t="shared" si="45"/>
        <v>0</v>
      </c>
      <c r="H981" s="18">
        <v>0</v>
      </c>
    </row>
    <row r="982" spans="1:8" ht="60" hidden="1">
      <c r="A982" s="16" t="s">
        <v>670</v>
      </c>
      <c r="B982" s="15" t="s">
        <v>1652</v>
      </c>
      <c r="C982" s="15" t="s">
        <v>923</v>
      </c>
      <c r="D982" s="15" t="s">
        <v>478</v>
      </c>
      <c r="E982" s="15" t="s">
        <v>575</v>
      </c>
      <c r="F982" s="17">
        <f>F983</f>
        <v>0</v>
      </c>
      <c r="G982" s="17">
        <f t="shared" si="45"/>
        <v>0</v>
      </c>
      <c r="H982" s="17">
        <f>H983</f>
        <v>0</v>
      </c>
    </row>
    <row r="983" spans="1:8" ht="24.75" hidden="1">
      <c r="A983" s="16" t="s">
        <v>1195</v>
      </c>
      <c r="B983" s="15" t="s">
        <v>1652</v>
      </c>
      <c r="C983" s="15" t="s">
        <v>923</v>
      </c>
      <c r="D983" s="15" t="s">
        <v>478</v>
      </c>
      <c r="E983" s="15" t="s">
        <v>271</v>
      </c>
      <c r="F983" s="18"/>
      <c r="G983" s="17">
        <f t="shared" si="45"/>
        <v>0</v>
      </c>
      <c r="H983" s="18"/>
    </row>
    <row r="984" spans="1:8" ht="24">
      <c r="A984" s="16" t="s">
        <v>2002</v>
      </c>
      <c r="B984" s="15" t="s">
        <v>1652</v>
      </c>
      <c r="C984" s="15" t="s">
        <v>923</v>
      </c>
      <c r="D984" s="15" t="s">
        <v>1059</v>
      </c>
      <c r="E984" s="15" t="s">
        <v>575</v>
      </c>
      <c r="F984" s="17">
        <f>F985</f>
        <v>3505</v>
      </c>
      <c r="G984" s="17">
        <f t="shared" si="45"/>
        <v>3505</v>
      </c>
      <c r="H984" s="17"/>
    </row>
    <row r="985" spans="1:8" ht="24">
      <c r="A985" s="16" t="s">
        <v>269</v>
      </c>
      <c r="B985" s="15" t="s">
        <v>1652</v>
      </c>
      <c r="C985" s="15" t="s">
        <v>923</v>
      </c>
      <c r="D985" s="15" t="s">
        <v>1059</v>
      </c>
      <c r="E985" s="15" t="s">
        <v>570</v>
      </c>
      <c r="F985" s="18">
        <f>36+5469-2000</f>
        <v>3505</v>
      </c>
      <c r="G985" s="17">
        <f t="shared" si="45"/>
        <v>3505</v>
      </c>
      <c r="H985" s="18">
        <v>0</v>
      </c>
    </row>
    <row r="986" spans="1:8" ht="24">
      <c r="A986" s="159" t="s">
        <v>1148</v>
      </c>
      <c r="B986" s="15" t="s">
        <v>1652</v>
      </c>
      <c r="C986" s="15" t="s">
        <v>923</v>
      </c>
      <c r="D986" s="15" t="s">
        <v>1149</v>
      </c>
      <c r="E986" s="15"/>
      <c r="F986" s="17">
        <f>F987+F990</f>
        <v>22536</v>
      </c>
      <c r="G986" s="17">
        <f t="shared" si="45"/>
        <v>0</v>
      </c>
      <c r="H986" s="17">
        <f>H987+H990</f>
        <v>22536</v>
      </c>
    </row>
    <row r="987" spans="1:8" ht="84" customHeight="1" hidden="1">
      <c r="A987" s="16" t="s">
        <v>967</v>
      </c>
      <c r="B987" s="15" t="s">
        <v>1652</v>
      </c>
      <c r="C987" s="15" t="s">
        <v>923</v>
      </c>
      <c r="D987" s="15" t="s">
        <v>686</v>
      </c>
      <c r="E987" s="15" t="s">
        <v>575</v>
      </c>
      <c r="F987" s="17">
        <f>F988</f>
        <v>0</v>
      </c>
      <c r="G987" s="17">
        <f t="shared" si="45"/>
        <v>0</v>
      </c>
      <c r="H987" s="17">
        <f>H988</f>
        <v>0</v>
      </c>
    </row>
    <row r="988" spans="1:8" ht="24.75" hidden="1">
      <c r="A988" s="16" t="s">
        <v>1195</v>
      </c>
      <c r="B988" s="15" t="s">
        <v>1652</v>
      </c>
      <c r="C988" s="15" t="s">
        <v>923</v>
      </c>
      <c r="D988" s="15" t="s">
        <v>686</v>
      </c>
      <c r="E988" s="15" t="s">
        <v>271</v>
      </c>
      <c r="F988" s="17">
        <f>F989</f>
        <v>0</v>
      </c>
      <c r="G988" s="17">
        <f t="shared" si="45"/>
        <v>0</v>
      </c>
      <c r="H988" s="17">
        <f>H989</f>
        <v>0</v>
      </c>
    </row>
    <row r="989" spans="1:8" ht="25.5" hidden="1" thickBot="1">
      <c r="A989" s="183" t="s">
        <v>269</v>
      </c>
      <c r="B989" s="15" t="s">
        <v>1652</v>
      </c>
      <c r="C989" s="15" t="s">
        <v>923</v>
      </c>
      <c r="D989" s="15" t="s">
        <v>686</v>
      </c>
      <c r="E989" s="15" t="s">
        <v>570</v>
      </c>
      <c r="F989" s="18">
        <v>0</v>
      </c>
      <c r="G989" s="17">
        <f t="shared" si="45"/>
        <v>0</v>
      </c>
      <c r="H989" s="18">
        <v>0</v>
      </c>
    </row>
    <row r="990" spans="1:8" ht="36">
      <c r="A990" s="185" t="s">
        <v>0</v>
      </c>
      <c r="B990" s="182" t="s">
        <v>1652</v>
      </c>
      <c r="C990" s="15" t="s">
        <v>923</v>
      </c>
      <c r="D990" s="15" t="s">
        <v>1</v>
      </c>
      <c r="E990" s="15" t="s">
        <v>575</v>
      </c>
      <c r="F990" s="17">
        <f>F991</f>
        <v>22536</v>
      </c>
      <c r="G990" s="17">
        <f t="shared" si="45"/>
        <v>0</v>
      </c>
      <c r="H990" s="17">
        <f>H991</f>
        <v>22536</v>
      </c>
    </row>
    <row r="991" spans="1:8" ht="24">
      <c r="A991" s="184" t="s">
        <v>1195</v>
      </c>
      <c r="B991" s="15" t="s">
        <v>1652</v>
      </c>
      <c r="C991" s="15" t="s">
        <v>923</v>
      </c>
      <c r="D991" s="15" t="s">
        <v>1</v>
      </c>
      <c r="E991" s="15" t="s">
        <v>271</v>
      </c>
      <c r="F991" s="17">
        <f>F992</f>
        <v>22536</v>
      </c>
      <c r="G991" s="17">
        <f t="shared" si="45"/>
        <v>0</v>
      </c>
      <c r="H991" s="17">
        <f>H992</f>
        <v>22536</v>
      </c>
    </row>
    <row r="992" spans="1:8" ht="24">
      <c r="A992" s="16" t="s">
        <v>269</v>
      </c>
      <c r="B992" s="15" t="s">
        <v>1652</v>
      </c>
      <c r="C992" s="15" t="s">
        <v>923</v>
      </c>
      <c r="D992" s="15" t="s">
        <v>1</v>
      </c>
      <c r="E992" s="15" t="s">
        <v>570</v>
      </c>
      <c r="F992" s="18">
        <v>22536</v>
      </c>
      <c r="G992" s="17">
        <f t="shared" si="45"/>
        <v>0</v>
      </c>
      <c r="H992" s="18">
        <v>22536</v>
      </c>
    </row>
    <row r="993" spans="1:8" ht="24">
      <c r="A993" s="31" t="s">
        <v>1664</v>
      </c>
      <c r="B993" s="15" t="s">
        <v>1652</v>
      </c>
      <c r="C993" s="15" t="s">
        <v>923</v>
      </c>
      <c r="D993" s="15" t="s">
        <v>1663</v>
      </c>
      <c r="E993" s="15"/>
      <c r="F993" s="17">
        <f>F994</f>
        <v>55618.00000000001</v>
      </c>
      <c r="G993" s="17">
        <f t="shared" si="45"/>
        <v>55618.00000000001</v>
      </c>
      <c r="H993" s="17">
        <f>H994</f>
        <v>0</v>
      </c>
    </row>
    <row r="994" spans="1:8" ht="36">
      <c r="A994" s="121" t="s">
        <v>1085</v>
      </c>
      <c r="B994" s="15" t="s">
        <v>1652</v>
      </c>
      <c r="C994" s="15" t="s">
        <v>923</v>
      </c>
      <c r="D994" s="52" t="s">
        <v>1615</v>
      </c>
      <c r="E994" s="52" t="s">
        <v>575</v>
      </c>
      <c r="F994" s="17">
        <f>F995</f>
        <v>55618.00000000001</v>
      </c>
      <c r="G994" s="17">
        <f t="shared" si="45"/>
        <v>55618.00000000001</v>
      </c>
      <c r="H994" s="17">
        <f>H995</f>
        <v>0</v>
      </c>
    </row>
    <row r="995" spans="1:8" ht="24">
      <c r="A995" s="16" t="s">
        <v>270</v>
      </c>
      <c r="B995" s="15" t="s">
        <v>1652</v>
      </c>
      <c r="C995" s="15" t="s">
        <v>923</v>
      </c>
      <c r="D995" s="52" t="s">
        <v>1615</v>
      </c>
      <c r="E995" s="52" t="s">
        <v>271</v>
      </c>
      <c r="F995" s="17">
        <f>F997</f>
        <v>55618.00000000001</v>
      </c>
      <c r="G995" s="17">
        <f t="shared" si="45"/>
        <v>55618.00000000001</v>
      </c>
      <c r="H995" s="17">
        <f>H996</f>
        <v>0</v>
      </c>
    </row>
    <row r="996" spans="1:8" ht="24.75" hidden="1">
      <c r="A996" s="16" t="s">
        <v>269</v>
      </c>
      <c r="B996" s="15" t="s">
        <v>1652</v>
      </c>
      <c r="C996" s="15" t="s">
        <v>923</v>
      </c>
      <c r="D996" s="52" t="s">
        <v>1615</v>
      </c>
      <c r="E996" s="52" t="s">
        <v>570</v>
      </c>
      <c r="F996" s="18">
        <v>0</v>
      </c>
      <c r="G996" s="17">
        <f t="shared" si="45"/>
        <v>0</v>
      </c>
      <c r="H996" s="18">
        <v>0</v>
      </c>
    </row>
    <row r="997" spans="1:8" ht="24">
      <c r="A997" s="16" t="s">
        <v>969</v>
      </c>
      <c r="B997" s="15" t="s">
        <v>1652</v>
      </c>
      <c r="C997" s="15" t="s">
        <v>923</v>
      </c>
      <c r="D997" s="52" t="s">
        <v>1615</v>
      </c>
      <c r="E997" s="52" t="s">
        <v>180</v>
      </c>
      <c r="F997" s="17">
        <f>F999+F1001+F1002+F1003+F1004+F1005+F1006+F1007</f>
        <v>55618.00000000001</v>
      </c>
      <c r="G997" s="17">
        <f t="shared" si="45"/>
        <v>55618.00000000001</v>
      </c>
      <c r="H997" s="18"/>
    </row>
    <row r="998" spans="1:8" ht="36" hidden="1">
      <c r="A998" s="16" t="s">
        <v>671</v>
      </c>
      <c r="B998" s="15" t="s">
        <v>1652</v>
      </c>
      <c r="C998" s="15" t="s">
        <v>923</v>
      </c>
      <c r="D998" s="52" t="s">
        <v>1615</v>
      </c>
      <c r="E998" s="52" t="s">
        <v>180</v>
      </c>
      <c r="F998" s="18"/>
      <c r="G998" s="17">
        <f t="shared" si="45"/>
        <v>0</v>
      </c>
      <c r="H998" s="18"/>
    </row>
    <row r="999" spans="1:8" ht="39.75" customHeight="1" hidden="1">
      <c r="A999" s="16" t="s">
        <v>125</v>
      </c>
      <c r="B999" s="15" t="s">
        <v>1652</v>
      </c>
      <c r="C999" s="15" t="s">
        <v>923</v>
      </c>
      <c r="D999" s="52" t="s">
        <v>1615</v>
      </c>
      <c r="E999" s="52" t="s">
        <v>180</v>
      </c>
      <c r="F999" s="18">
        <f>2317-2317</f>
        <v>0</v>
      </c>
      <c r="G999" s="17">
        <f t="shared" si="45"/>
        <v>0</v>
      </c>
      <c r="H999" s="18"/>
    </row>
    <row r="1000" spans="1:8" ht="89.25" customHeight="1" hidden="1">
      <c r="A1000" s="16" t="s">
        <v>83</v>
      </c>
      <c r="B1000" s="15" t="s">
        <v>1652</v>
      </c>
      <c r="C1000" s="15" t="s">
        <v>923</v>
      </c>
      <c r="D1000" s="52" t="s">
        <v>1615</v>
      </c>
      <c r="E1000" s="52" t="s">
        <v>180</v>
      </c>
      <c r="F1000" s="18"/>
      <c r="G1000" s="17">
        <f t="shared" si="45"/>
        <v>0</v>
      </c>
      <c r="H1000" s="18"/>
    </row>
    <row r="1001" spans="1:8" ht="26.25" customHeight="1">
      <c r="A1001" s="16" t="s">
        <v>369</v>
      </c>
      <c r="B1001" s="15" t="s">
        <v>1652</v>
      </c>
      <c r="C1001" s="15" t="s">
        <v>923</v>
      </c>
      <c r="D1001" s="52" t="s">
        <v>1615</v>
      </c>
      <c r="E1001" s="52" t="s">
        <v>180</v>
      </c>
      <c r="F1001" s="18">
        <f>1918+5422.9+7130+5000</f>
        <v>19470.9</v>
      </c>
      <c r="G1001" s="17">
        <f t="shared" si="45"/>
        <v>19470.9</v>
      </c>
      <c r="H1001" s="18"/>
    </row>
    <row r="1002" spans="1:8" ht="131.25" customHeight="1">
      <c r="A1002" s="16" t="s">
        <v>1933</v>
      </c>
      <c r="B1002" s="15" t="s">
        <v>1652</v>
      </c>
      <c r="C1002" s="15" t="s">
        <v>923</v>
      </c>
      <c r="D1002" s="52" t="s">
        <v>1615</v>
      </c>
      <c r="E1002" s="52" t="s">
        <v>180</v>
      </c>
      <c r="F1002" s="18">
        <f>11566.2+866.6-146.1-268.4+85.8+3337.6+16289.1+1460-5422.9-0.1-715.7+35+598.1+1102.6+715.7-655.8-178-175.4-1509.8+585.9+380+1217+90+1444.5+2500</f>
        <v>33201.9</v>
      </c>
      <c r="G1002" s="17">
        <f t="shared" si="45"/>
        <v>33201.9</v>
      </c>
      <c r="H1002" s="18"/>
    </row>
    <row r="1003" spans="1:8" ht="18.75" customHeight="1">
      <c r="A1003" s="16" t="s">
        <v>158</v>
      </c>
      <c r="B1003" s="15" t="s">
        <v>1652</v>
      </c>
      <c r="C1003" s="15" t="s">
        <v>923</v>
      </c>
      <c r="D1003" s="52" t="s">
        <v>1615</v>
      </c>
      <c r="E1003" s="52" t="s">
        <v>180</v>
      </c>
      <c r="F1003" s="18">
        <f>480+270.3</f>
        <v>750.3</v>
      </c>
      <c r="G1003" s="17">
        <f t="shared" si="45"/>
        <v>750.3</v>
      </c>
      <c r="H1003" s="18"/>
    </row>
    <row r="1004" spans="1:8" ht="21" customHeight="1">
      <c r="A1004" s="16" t="s">
        <v>518</v>
      </c>
      <c r="B1004" s="15" t="s">
        <v>1652</v>
      </c>
      <c r="C1004" s="15" t="s">
        <v>923</v>
      </c>
      <c r="D1004" s="52" t="s">
        <v>1615</v>
      </c>
      <c r="E1004" s="52" t="s">
        <v>180</v>
      </c>
      <c r="F1004" s="18">
        <v>1545.1</v>
      </c>
      <c r="G1004" s="17">
        <f t="shared" si="45"/>
        <v>1545.1</v>
      </c>
      <c r="H1004" s="18"/>
    </row>
    <row r="1005" spans="1:8" ht="38.25" customHeight="1">
      <c r="A1005" s="16" t="s">
        <v>896</v>
      </c>
      <c r="B1005" s="15" t="s">
        <v>1652</v>
      </c>
      <c r="C1005" s="15" t="s">
        <v>923</v>
      </c>
      <c r="D1005" s="52" t="s">
        <v>1615</v>
      </c>
      <c r="E1005" s="52" t="s">
        <v>180</v>
      </c>
      <c r="F1005" s="18">
        <v>14</v>
      </c>
      <c r="G1005" s="17">
        <f t="shared" si="45"/>
        <v>14</v>
      </c>
      <c r="H1005" s="18"/>
    </row>
    <row r="1006" spans="1:8" ht="21.75" customHeight="1">
      <c r="A1006" s="16" t="s">
        <v>316</v>
      </c>
      <c r="B1006" s="15" t="s">
        <v>1652</v>
      </c>
      <c r="C1006" s="15" t="s">
        <v>923</v>
      </c>
      <c r="D1006" s="52" t="s">
        <v>1615</v>
      </c>
      <c r="E1006" s="52" t="s">
        <v>180</v>
      </c>
      <c r="F1006" s="18">
        <v>140.3</v>
      </c>
      <c r="G1006" s="17">
        <f t="shared" si="45"/>
        <v>140.3</v>
      </c>
      <c r="H1006" s="18"/>
    </row>
    <row r="1007" spans="1:8" ht="21.75" customHeight="1">
      <c r="A1007" s="16" t="s">
        <v>1985</v>
      </c>
      <c r="B1007" s="15" t="s">
        <v>1652</v>
      </c>
      <c r="C1007" s="15" t="s">
        <v>923</v>
      </c>
      <c r="D1007" s="52" t="s">
        <v>1615</v>
      </c>
      <c r="E1007" s="52" t="s">
        <v>180</v>
      </c>
      <c r="F1007" s="18">
        <v>495.5</v>
      </c>
      <c r="G1007" s="17">
        <f t="shared" si="45"/>
        <v>495.5</v>
      </c>
      <c r="H1007" s="18"/>
    </row>
    <row r="1008" spans="1:8" ht="24">
      <c r="A1008" s="75" t="s">
        <v>1105</v>
      </c>
      <c r="B1008" s="15" t="s">
        <v>1652</v>
      </c>
      <c r="C1008" s="15" t="s">
        <v>1653</v>
      </c>
      <c r="D1008" s="15"/>
      <c r="E1008" s="15"/>
      <c r="F1008" s="17">
        <f>F1009+F1010+F1012+F1017</f>
        <v>109</v>
      </c>
      <c r="G1008" s="17">
        <f t="shared" si="45"/>
        <v>109</v>
      </c>
      <c r="H1008" s="17">
        <f>H1010+H1012</f>
        <v>0</v>
      </c>
    </row>
    <row r="1009" spans="1:8" ht="24">
      <c r="A1009" s="31" t="s">
        <v>651</v>
      </c>
      <c r="B1009" s="52" t="s">
        <v>1652</v>
      </c>
      <c r="C1009" s="52" t="s">
        <v>1653</v>
      </c>
      <c r="D1009" s="52" t="s">
        <v>1886</v>
      </c>
      <c r="E1009" s="15"/>
      <c r="F1009" s="17">
        <f>F1014</f>
        <v>109</v>
      </c>
      <c r="G1009" s="17">
        <f t="shared" si="45"/>
        <v>109</v>
      </c>
      <c r="H1009" s="17"/>
    </row>
    <row r="1010" spans="1:8" ht="48" hidden="1">
      <c r="A1010" s="35" t="s">
        <v>479</v>
      </c>
      <c r="B1010" s="52" t="s">
        <v>1652</v>
      </c>
      <c r="C1010" s="52" t="s">
        <v>1653</v>
      </c>
      <c r="D1010" s="52" t="s">
        <v>231</v>
      </c>
      <c r="E1010" s="52" t="s">
        <v>575</v>
      </c>
      <c r="F1010" s="17">
        <f>F1011</f>
        <v>0</v>
      </c>
      <c r="G1010" s="17">
        <f>G1011</f>
        <v>0</v>
      </c>
      <c r="H1010" s="17">
        <f>H1011</f>
        <v>0</v>
      </c>
    </row>
    <row r="1011" spans="1:8" ht="24.75" hidden="1">
      <c r="A1011" s="16" t="s">
        <v>372</v>
      </c>
      <c r="B1011" s="15" t="s">
        <v>1652</v>
      </c>
      <c r="C1011" s="15" t="s">
        <v>1653</v>
      </c>
      <c r="D1011" s="52" t="s">
        <v>231</v>
      </c>
      <c r="E1011" s="15" t="s">
        <v>271</v>
      </c>
      <c r="F1011" s="18"/>
      <c r="G1011" s="17">
        <f aca="true" t="shared" si="46" ref="G1011:G1062">F1011-H1011</f>
        <v>0</v>
      </c>
      <c r="H1011" s="18"/>
    </row>
    <row r="1012" spans="1:8" ht="60" hidden="1">
      <c r="A1012" s="35" t="s">
        <v>1156</v>
      </c>
      <c r="B1012" s="15" t="s">
        <v>1652</v>
      </c>
      <c r="C1012" s="15" t="s">
        <v>1653</v>
      </c>
      <c r="D1012" s="15" t="s">
        <v>473</v>
      </c>
      <c r="E1012" s="15" t="s">
        <v>575</v>
      </c>
      <c r="F1012" s="17">
        <f>F1013</f>
        <v>0</v>
      </c>
      <c r="G1012" s="17">
        <f>G1013</f>
        <v>0</v>
      </c>
      <c r="H1012" s="17">
        <f>H1013</f>
        <v>0</v>
      </c>
    </row>
    <row r="1013" spans="1:8" ht="24.75" hidden="1">
      <c r="A1013" s="16" t="s">
        <v>372</v>
      </c>
      <c r="B1013" s="15" t="s">
        <v>1652</v>
      </c>
      <c r="C1013" s="15" t="s">
        <v>1653</v>
      </c>
      <c r="D1013" s="15" t="s">
        <v>473</v>
      </c>
      <c r="E1013" s="15" t="s">
        <v>271</v>
      </c>
      <c r="F1013" s="18"/>
      <c r="G1013" s="17">
        <f t="shared" si="46"/>
        <v>0</v>
      </c>
      <c r="H1013" s="18"/>
    </row>
    <row r="1014" spans="1:8" ht="24">
      <c r="A1014" s="16" t="s">
        <v>669</v>
      </c>
      <c r="B1014" s="15" t="s">
        <v>1652</v>
      </c>
      <c r="C1014" s="15" t="s">
        <v>1653</v>
      </c>
      <c r="D1014" s="15" t="s">
        <v>1175</v>
      </c>
      <c r="E1014" s="15" t="s">
        <v>575</v>
      </c>
      <c r="F1014" s="17">
        <f>F1015</f>
        <v>109</v>
      </c>
      <c r="G1014" s="17">
        <f t="shared" si="46"/>
        <v>109</v>
      </c>
      <c r="H1014" s="18"/>
    </row>
    <row r="1015" spans="1:8" ht="24">
      <c r="A1015" s="16" t="s">
        <v>372</v>
      </c>
      <c r="B1015" s="15" t="s">
        <v>1652</v>
      </c>
      <c r="C1015" s="15" t="s">
        <v>1653</v>
      </c>
      <c r="D1015" s="15" t="s">
        <v>1175</v>
      </c>
      <c r="E1015" s="15" t="s">
        <v>271</v>
      </c>
      <c r="F1015" s="17">
        <f>F1016</f>
        <v>109</v>
      </c>
      <c r="G1015" s="17">
        <f t="shared" si="46"/>
        <v>109</v>
      </c>
      <c r="H1015" s="18"/>
    </row>
    <row r="1016" spans="1:8" ht="24">
      <c r="A1016" s="16" t="s">
        <v>269</v>
      </c>
      <c r="B1016" s="15" t="s">
        <v>1652</v>
      </c>
      <c r="C1016" s="15" t="s">
        <v>1653</v>
      </c>
      <c r="D1016" s="15" t="s">
        <v>1175</v>
      </c>
      <c r="E1016" s="15" t="s">
        <v>570</v>
      </c>
      <c r="F1016" s="18">
        <f>10+99</f>
        <v>109</v>
      </c>
      <c r="G1016" s="17">
        <f t="shared" si="46"/>
        <v>109</v>
      </c>
      <c r="H1016" s="18"/>
    </row>
    <row r="1017" spans="1:8" ht="24" hidden="1">
      <c r="A1017" s="31" t="s">
        <v>1664</v>
      </c>
      <c r="B1017" s="15" t="s">
        <v>1652</v>
      </c>
      <c r="C1017" s="15" t="s">
        <v>1653</v>
      </c>
      <c r="D1017" s="15" t="s">
        <v>1663</v>
      </c>
      <c r="E1017" s="15"/>
      <c r="F1017" s="17">
        <f>F1018</f>
        <v>0</v>
      </c>
      <c r="G1017" s="17">
        <f t="shared" si="46"/>
        <v>0</v>
      </c>
      <c r="H1017" s="18"/>
    </row>
    <row r="1018" spans="1:8" ht="36" hidden="1">
      <c r="A1018" s="121" t="s">
        <v>1085</v>
      </c>
      <c r="B1018" s="15" t="s">
        <v>1652</v>
      </c>
      <c r="C1018" s="15" t="s">
        <v>1653</v>
      </c>
      <c r="D1018" s="15" t="s">
        <v>1615</v>
      </c>
      <c r="E1018" s="15" t="s">
        <v>575</v>
      </c>
      <c r="F1018" s="17">
        <f>F1019</f>
        <v>0</v>
      </c>
      <c r="G1018" s="17">
        <f t="shared" si="46"/>
        <v>0</v>
      </c>
      <c r="H1018" s="18"/>
    </row>
    <row r="1019" spans="1:8" ht="24.75" hidden="1">
      <c r="A1019" s="16" t="s">
        <v>969</v>
      </c>
      <c r="B1019" s="15" t="s">
        <v>1652</v>
      </c>
      <c r="C1019" s="15" t="s">
        <v>1653</v>
      </c>
      <c r="D1019" s="15" t="s">
        <v>1615</v>
      </c>
      <c r="E1019" s="15" t="s">
        <v>180</v>
      </c>
      <c r="F1019" s="17">
        <f>F1020</f>
        <v>0</v>
      </c>
      <c r="G1019" s="17">
        <f t="shared" si="46"/>
        <v>0</v>
      </c>
      <c r="H1019" s="18"/>
    </row>
    <row r="1020" spans="1:8" ht="48" hidden="1">
      <c r="A1020" s="16" t="s">
        <v>173</v>
      </c>
      <c r="B1020" s="15" t="s">
        <v>1652</v>
      </c>
      <c r="C1020" s="15" t="s">
        <v>1653</v>
      </c>
      <c r="D1020" s="15" t="s">
        <v>1615</v>
      </c>
      <c r="E1020" s="15" t="s">
        <v>180</v>
      </c>
      <c r="F1020" s="18"/>
      <c r="G1020" s="17">
        <f t="shared" si="46"/>
        <v>0</v>
      </c>
      <c r="H1020" s="18"/>
    </row>
    <row r="1021" spans="1:8" ht="15">
      <c r="A1021" s="75" t="s">
        <v>1106</v>
      </c>
      <c r="B1021" s="15" t="s">
        <v>1652</v>
      </c>
      <c r="C1021" s="15" t="s">
        <v>439</v>
      </c>
      <c r="D1021" s="15"/>
      <c r="E1021" s="15"/>
      <c r="F1021" s="17">
        <f>F1022+F1035</f>
        <v>50695.9</v>
      </c>
      <c r="G1021" s="17">
        <f>G1022+G1035</f>
        <v>5991.9000000000015</v>
      </c>
      <c r="H1021" s="17">
        <f>H1022+H1035</f>
        <v>44704</v>
      </c>
    </row>
    <row r="1022" spans="1:8" ht="15">
      <c r="A1022" s="31" t="s">
        <v>669</v>
      </c>
      <c r="B1022" s="15" t="s">
        <v>1652</v>
      </c>
      <c r="C1022" s="15" t="s">
        <v>439</v>
      </c>
      <c r="D1022" s="15" t="s">
        <v>1369</v>
      </c>
      <c r="E1022" s="15"/>
      <c r="F1022" s="17">
        <f>F1023+F1026+F1029+F1032</f>
        <v>50209.4</v>
      </c>
      <c r="G1022" s="17">
        <f>G1023+G1026+G1029+G1032</f>
        <v>5505.4000000000015</v>
      </c>
      <c r="H1022" s="17">
        <f>H1023+H1026+H1029+H1032</f>
        <v>44704</v>
      </c>
    </row>
    <row r="1023" spans="1:8" ht="48">
      <c r="A1023" s="35" t="s">
        <v>1157</v>
      </c>
      <c r="B1023" s="15" t="s">
        <v>1652</v>
      </c>
      <c r="C1023" s="15" t="s">
        <v>439</v>
      </c>
      <c r="D1023" s="15" t="s">
        <v>1094</v>
      </c>
      <c r="E1023" s="15" t="s">
        <v>575</v>
      </c>
      <c r="F1023" s="17">
        <f>F1024</f>
        <v>43483.4</v>
      </c>
      <c r="G1023" s="17">
        <f t="shared" si="46"/>
        <v>0.4000000000014552</v>
      </c>
      <c r="H1023" s="17">
        <f>H1024</f>
        <v>43483</v>
      </c>
    </row>
    <row r="1024" spans="1:8" ht="24">
      <c r="A1024" s="16" t="s">
        <v>269</v>
      </c>
      <c r="B1024" s="15" t="s">
        <v>1652</v>
      </c>
      <c r="C1024" s="15" t="s">
        <v>439</v>
      </c>
      <c r="D1024" s="15" t="s">
        <v>1094</v>
      </c>
      <c r="E1024" s="15" t="s">
        <v>271</v>
      </c>
      <c r="F1024" s="17">
        <f>F1025</f>
        <v>43483.4</v>
      </c>
      <c r="G1024" s="17">
        <f t="shared" si="46"/>
        <v>0.4000000000014552</v>
      </c>
      <c r="H1024" s="17">
        <f>H1025</f>
        <v>43483</v>
      </c>
    </row>
    <row r="1025" spans="1:8" ht="24">
      <c r="A1025" s="16" t="s">
        <v>269</v>
      </c>
      <c r="B1025" s="15" t="s">
        <v>1652</v>
      </c>
      <c r="C1025" s="15" t="s">
        <v>439</v>
      </c>
      <c r="D1025" s="15" t="s">
        <v>1094</v>
      </c>
      <c r="E1025" s="15" t="s">
        <v>570</v>
      </c>
      <c r="F1025" s="18">
        <f>44083.4-600</f>
        <v>43483.4</v>
      </c>
      <c r="G1025" s="17">
        <f t="shared" si="46"/>
        <v>0.4000000000014552</v>
      </c>
      <c r="H1025" s="18">
        <f>44083-600</f>
        <v>43483</v>
      </c>
    </row>
    <row r="1026" spans="1:8" ht="60">
      <c r="A1026" s="35" t="s">
        <v>11</v>
      </c>
      <c r="B1026" s="15" t="s">
        <v>1652</v>
      </c>
      <c r="C1026" s="15" t="s">
        <v>439</v>
      </c>
      <c r="D1026" s="15" t="s">
        <v>1095</v>
      </c>
      <c r="E1026" s="15" t="s">
        <v>575</v>
      </c>
      <c r="F1026" s="17">
        <f>F1027</f>
        <v>621</v>
      </c>
      <c r="G1026" s="17">
        <f t="shared" si="46"/>
        <v>0</v>
      </c>
      <c r="H1026" s="17">
        <f>H1027</f>
        <v>621</v>
      </c>
    </row>
    <row r="1027" spans="1:8" ht="24">
      <c r="A1027" s="16" t="s">
        <v>269</v>
      </c>
      <c r="B1027" s="15" t="s">
        <v>1652</v>
      </c>
      <c r="C1027" s="15" t="s">
        <v>439</v>
      </c>
      <c r="D1027" s="15" t="s">
        <v>1095</v>
      </c>
      <c r="E1027" s="15" t="s">
        <v>271</v>
      </c>
      <c r="F1027" s="17">
        <f>F1028</f>
        <v>621</v>
      </c>
      <c r="G1027" s="17">
        <f t="shared" si="46"/>
        <v>0</v>
      </c>
      <c r="H1027" s="17">
        <f>H1028</f>
        <v>621</v>
      </c>
    </row>
    <row r="1028" spans="1:8" ht="24">
      <c r="A1028" s="16" t="s">
        <v>269</v>
      </c>
      <c r="B1028" s="15" t="s">
        <v>1652</v>
      </c>
      <c r="C1028" s="15" t="s">
        <v>439</v>
      </c>
      <c r="D1028" s="15" t="s">
        <v>1095</v>
      </c>
      <c r="E1028" s="15" t="s">
        <v>570</v>
      </c>
      <c r="F1028" s="18">
        <v>621</v>
      </c>
      <c r="G1028" s="17">
        <f t="shared" si="46"/>
        <v>0</v>
      </c>
      <c r="H1028" s="18">
        <v>621</v>
      </c>
    </row>
    <row r="1029" spans="1:8" ht="36">
      <c r="A1029" s="16" t="s">
        <v>1043</v>
      </c>
      <c r="B1029" s="15" t="s">
        <v>1652</v>
      </c>
      <c r="C1029" s="15" t="s">
        <v>439</v>
      </c>
      <c r="D1029" s="15" t="s">
        <v>1096</v>
      </c>
      <c r="E1029" s="15" t="s">
        <v>575</v>
      </c>
      <c r="F1029" s="17">
        <f>F1030</f>
        <v>600</v>
      </c>
      <c r="G1029" s="17">
        <f t="shared" si="46"/>
        <v>0</v>
      </c>
      <c r="H1029" s="17">
        <f>H1030</f>
        <v>600</v>
      </c>
    </row>
    <row r="1030" spans="1:8" ht="24">
      <c r="A1030" s="16" t="s">
        <v>1195</v>
      </c>
      <c r="B1030" s="15" t="s">
        <v>1652</v>
      </c>
      <c r="C1030" s="15" t="s">
        <v>439</v>
      </c>
      <c r="D1030" s="15" t="s">
        <v>1096</v>
      </c>
      <c r="E1030" s="15" t="s">
        <v>271</v>
      </c>
      <c r="F1030" s="17">
        <f>F1031</f>
        <v>600</v>
      </c>
      <c r="G1030" s="17">
        <f t="shared" si="46"/>
        <v>0</v>
      </c>
      <c r="H1030" s="17">
        <f>H1031</f>
        <v>600</v>
      </c>
    </row>
    <row r="1031" spans="1:8" ht="24">
      <c r="A1031" s="16" t="s">
        <v>269</v>
      </c>
      <c r="B1031" s="15" t="s">
        <v>1652</v>
      </c>
      <c r="C1031" s="15" t="s">
        <v>439</v>
      </c>
      <c r="D1031" s="15" t="s">
        <v>1096</v>
      </c>
      <c r="E1031" s="15" t="s">
        <v>570</v>
      </c>
      <c r="F1031" s="18">
        <v>600</v>
      </c>
      <c r="G1031" s="17">
        <f t="shared" si="46"/>
        <v>0</v>
      </c>
      <c r="H1031" s="18">
        <v>600</v>
      </c>
    </row>
    <row r="1032" spans="1:8" ht="24">
      <c r="A1032" s="16" t="s">
        <v>2002</v>
      </c>
      <c r="B1032" s="15" t="s">
        <v>1652</v>
      </c>
      <c r="C1032" s="15" t="s">
        <v>439</v>
      </c>
      <c r="D1032" s="15" t="s">
        <v>977</v>
      </c>
      <c r="E1032" s="15" t="s">
        <v>575</v>
      </c>
      <c r="F1032" s="17">
        <f>F1033</f>
        <v>5505</v>
      </c>
      <c r="G1032" s="17">
        <f t="shared" si="46"/>
        <v>5505</v>
      </c>
      <c r="H1032" s="17">
        <f>H1033</f>
        <v>0</v>
      </c>
    </row>
    <row r="1033" spans="1:8" ht="24">
      <c r="A1033" s="16" t="s">
        <v>1195</v>
      </c>
      <c r="B1033" s="15" t="s">
        <v>1652</v>
      </c>
      <c r="C1033" s="15" t="s">
        <v>439</v>
      </c>
      <c r="D1033" s="15" t="s">
        <v>977</v>
      </c>
      <c r="E1033" s="15" t="s">
        <v>271</v>
      </c>
      <c r="F1033" s="17">
        <f>F1034</f>
        <v>5505</v>
      </c>
      <c r="G1033" s="17">
        <f t="shared" si="46"/>
        <v>5505</v>
      </c>
      <c r="H1033" s="17">
        <f>H1034</f>
        <v>0</v>
      </c>
    </row>
    <row r="1034" spans="1:8" ht="24">
      <c r="A1034" s="16" t="s">
        <v>269</v>
      </c>
      <c r="B1034" s="15" t="s">
        <v>1652</v>
      </c>
      <c r="C1034" s="15" t="s">
        <v>439</v>
      </c>
      <c r="D1034" s="15" t="s">
        <v>977</v>
      </c>
      <c r="E1034" s="15" t="s">
        <v>570</v>
      </c>
      <c r="F1034" s="18">
        <f>112+5000+393</f>
        <v>5505</v>
      </c>
      <c r="G1034" s="17">
        <f t="shared" si="46"/>
        <v>5505</v>
      </c>
      <c r="H1034" s="18">
        <v>0</v>
      </c>
    </row>
    <row r="1035" spans="1:8" ht="24">
      <c r="A1035" s="31" t="s">
        <v>1664</v>
      </c>
      <c r="B1035" s="15" t="s">
        <v>1652</v>
      </c>
      <c r="C1035" s="15" t="s">
        <v>439</v>
      </c>
      <c r="D1035" s="52" t="s">
        <v>1663</v>
      </c>
      <c r="E1035" s="52"/>
      <c r="F1035" s="17">
        <f>F1036</f>
        <v>486.5</v>
      </c>
      <c r="G1035" s="17">
        <f t="shared" si="46"/>
        <v>486.5</v>
      </c>
      <c r="H1035" s="18"/>
    </row>
    <row r="1036" spans="1:8" ht="36">
      <c r="A1036" s="121" t="s">
        <v>1085</v>
      </c>
      <c r="B1036" s="15" t="s">
        <v>1652</v>
      </c>
      <c r="C1036" s="15" t="s">
        <v>439</v>
      </c>
      <c r="D1036" s="52" t="s">
        <v>1615</v>
      </c>
      <c r="E1036" s="52"/>
      <c r="F1036" s="17">
        <f>F1037</f>
        <v>486.5</v>
      </c>
      <c r="G1036" s="17">
        <f t="shared" si="46"/>
        <v>486.5</v>
      </c>
      <c r="H1036" s="18"/>
    </row>
    <row r="1037" spans="1:8" ht="24">
      <c r="A1037" s="16" t="s">
        <v>270</v>
      </c>
      <c r="B1037" s="15" t="s">
        <v>1652</v>
      </c>
      <c r="C1037" s="15" t="s">
        <v>439</v>
      </c>
      <c r="D1037" s="52" t="s">
        <v>1615</v>
      </c>
      <c r="E1037" s="52" t="s">
        <v>271</v>
      </c>
      <c r="F1037" s="17">
        <f>F1038</f>
        <v>486.5</v>
      </c>
      <c r="G1037" s="17">
        <f t="shared" si="46"/>
        <v>486.5</v>
      </c>
      <c r="H1037" s="18"/>
    </row>
    <row r="1038" spans="1:8" ht="24">
      <c r="A1038" s="16" t="s">
        <v>969</v>
      </c>
      <c r="B1038" s="15" t="s">
        <v>1652</v>
      </c>
      <c r="C1038" s="15" t="s">
        <v>439</v>
      </c>
      <c r="D1038" s="52" t="s">
        <v>1615</v>
      </c>
      <c r="E1038" s="52" t="s">
        <v>180</v>
      </c>
      <c r="F1038" s="17">
        <f>F1039+F1040+F1041</f>
        <v>486.5</v>
      </c>
      <c r="G1038" s="17">
        <f t="shared" si="46"/>
        <v>486.5</v>
      </c>
      <c r="H1038" s="18"/>
    </row>
    <row r="1039" spans="1:8" ht="36">
      <c r="A1039" s="16" t="s">
        <v>1478</v>
      </c>
      <c r="B1039" s="15" t="s">
        <v>1652</v>
      </c>
      <c r="C1039" s="15" t="s">
        <v>439</v>
      </c>
      <c r="D1039" s="52" t="s">
        <v>1615</v>
      </c>
      <c r="E1039" s="52" t="s">
        <v>180</v>
      </c>
      <c r="F1039" s="18">
        <v>286.5</v>
      </c>
      <c r="G1039" s="17">
        <f t="shared" si="46"/>
        <v>286.5</v>
      </c>
      <c r="H1039" s="18"/>
    </row>
    <row r="1040" spans="1:8" ht="24">
      <c r="A1040" s="16" t="s">
        <v>1934</v>
      </c>
      <c r="B1040" s="15" t="s">
        <v>1652</v>
      </c>
      <c r="C1040" s="15" t="s">
        <v>439</v>
      </c>
      <c r="D1040" s="52" t="s">
        <v>1615</v>
      </c>
      <c r="E1040" s="52" t="s">
        <v>180</v>
      </c>
      <c r="F1040" s="18">
        <v>200</v>
      </c>
      <c r="G1040" s="17">
        <f t="shared" si="46"/>
        <v>200</v>
      </c>
      <c r="H1040" s="18"/>
    </row>
    <row r="1041" spans="1:8" ht="36" hidden="1">
      <c r="A1041" s="16" t="s">
        <v>652</v>
      </c>
      <c r="B1041" s="15" t="s">
        <v>1652</v>
      </c>
      <c r="C1041" s="15" t="s">
        <v>439</v>
      </c>
      <c r="D1041" s="52" t="s">
        <v>1615</v>
      </c>
      <c r="E1041" s="52" t="s">
        <v>180</v>
      </c>
      <c r="F1041" s="18">
        <f>11.9-11.9</f>
        <v>0</v>
      </c>
      <c r="G1041" s="17">
        <f t="shared" si="46"/>
        <v>0</v>
      </c>
      <c r="H1041" s="18"/>
    </row>
    <row r="1042" spans="1:8" ht="36">
      <c r="A1042" s="75" t="s">
        <v>115</v>
      </c>
      <c r="B1042" s="15" t="s">
        <v>1652</v>
      </c>
      <c r="C1042" s="15" t="s">
        <v>1647</v>
      </c>
      <c r="D1042" s="15"/>
      <c r="E1042" s="15"/>
      <c r="F1042" s="17">
        <f>F1043+F1059</f>
        <v>11327.2</v>
      </c>
      <c r="G1042" s="17">
        <f>G1043+G1059</f>
        <v>209.20000000000073</v>
      </c>
      <c r="H1042" s="17">
        <f>H1043</f>
        <v>11118</v>
      </c>
    </row>
    <row r="1043" spans="1:8" ht="24">
      <c r="A1043" s="31" t="s">
        <v>116</v>
      </c>
      <c r="B1043" s="15" t="s">
        <v>1652</v>
      </c>
      <c r="C1043" s="15" t="s">
        <v>1647</v>
      </c>
      <c r="D1043" s="15" t="s">
        <v>117</v>
      </c>
      <c r="E1043" s="15"/>
      <c r="F1043" s="17">
        <f>F1044+F1047+F1050+F1053</f>
        <v>11327.2</v>
      </c>
      <c r="G1043" s="17">
        <f t="shared" si="46"/>
        <v>209.20000000000073</v>
      </c>
      <c r="H1043" s="17">
        <f>H1044+H1047+H1050+H1053</f>
        <v>11118</v>
      </c>
    </row>
    <row r="1044" spans="1:8" ht="48">
      <c r="A1044" s="35" t="s">
        <v>576</v>
      </c>
      <c r="B1044" s="15" t="s">
        <v>1652</v>
      </c>
      <c r="C1044" s="15" t="s">
        <v>1647</v>
      </c>
      <c r="D1044" s="15" t="s">
        <v>1097</v>
      </c>
      <c r="E1044" s="15" t="s">
        <v>575</v>
      </c>
      <c r="F1044" s="17">
        <f>F1045</f>
        <v>9865.2</v>
      </c>
      <c r="G1044" s="17">
        <f>G1045</f>
        <v>83.20000000000073</v>
      </c>
      <c r="H1044" s="17">
        <f>H1045</f>
        <v>9782</v>
      </c>
    </row>
    <row r="1045" spans="1:8" ht="24">
      <c r="A1045" s="16" t="s">
        <v>1195</v>
      </c>
      <c r="B1045" s="15" t="s">
        <v>1652</v>
      </c>
      <c r="C1045" s="15" t="s">
        <v>1647</v>
      </c>
      <c r="D1045" s="15" t="s">
        <v>1097</v>
      </c>
      <c r="E1045" s="15" t="s">
        <v>271</v>
      </c>
      <c r="F1045" s="17">
        <f>F1046</f>
        <v>9865.2</v>
      </c>
      <c r="G1045" s="17">
        <f t="shared" si="46"/>
        <v>83.20000000000073</v>
      </c>
      <c r="H1045" s="17">
        <f>H1046</f>
        <v>9782</v>
      </c>
    </row>
    <row r="1046" spans="1:8" ht="24">
      <c r="A1046" s="16" t="s">
        <v>269</v>
      </c>
      <c r="B1046" s="15" t="s">
        <v>1652</v>
      </c>
      <c r="C1046" s="15" t="s">
        <v>1647</v>
      </c>
      <c r="D1046" s="15" t="s">
        <v>1097</v>
      </c>
      <c r="E1046" s="15" t="s">
        <v>570</v>
      </c>
      <c r="F1046" s="18">
        <f>9553+83.2+229</f>
        <v>9865.2</v>
      </c>
      <c r="G1046" s="17">
        <f t="shared" si="46"/>
        <v>83.20000000000073</v>
      </c>
      <c r="H1046" s="18">
        <v>9782</v>
      </c>
    </row>
    <row r="1047" spans="1:8" ht="60">
      <c r="A1047" s="35" t="s">
        <v>577</v>
      </c>
      <c r="B1047" s="15" t="s">
        <v>1652</v>
      </c>
      <c r="C1047" s="15" t="s">
        <v>1647</v>
      </c>
      <c r="D1047" s="15" t="s">
        <v>1098</v>
      </c>
      <c r="E1047" s="15" t="s">
        <v>575</v>
      </c>
      <c r="F1047" s="17">
        <f>F1048</f>
        <v>1036</v>
      </c>
      <c r="G1047" s="17">
        <f t="shared" si="46"/>
        <v>0</v>
      </c>
      <c r="H1047" s="17">
        <f>H1048</f>
        <v>1036</v>
      </c>
    </row>
    <row r="1048" spans="1:8" ht="24">
      <c r="A1048" s="16" t="s">
        <v>1195</v>
      </c>
      <c r="B1048" s="15" t="s">
        <v>1652</v>
      </c>
      <c r="C1048" s="15" t="s">
        <v>1647</v>
      </c>
      <c r="D1048" s="15" t="s">
        <v>1098</v>
      </c>
      <c r="E1048" s="15" t="s">
        <v>271</v>
      </c>
      <c r="F1048" s="17">
        <f>F1049</f>
        <v>1036</v>
      </c>
      <c r="G1048" s="17">
        <f t="shared" si="46"/>
        <v>0</v>
      </c>
      <c r="H1048" s="17">
        <f>H1049</f>
        <v>1036</v>
      </c>
    </row>
    <row r="1049" spans="1:8" ht="24">
      <c r="A1049" s="16" t="s">
        <v>269</v>
      </c>
      <c r="B1049" s="15" t="s">
        <v>1652</v>
      </c>
      <c r="C1049" s="15" t="s">
        <v>1647</v>
      </c>
      <c r="D1049" s="15" t="s">
        <v>1098</v>
      </c>
      <c r="E1049" s="15" t="s">
        <v>570</v>
      </c>
      <c r="F1049" s="18">
        <v>1036</v>
      </c>
      <c r="G1049" s="17">
        <f t="shared" si="46"/>
        <v>0</v>
      </c>
      <c r="H1049" s="18">
        <v>1036</v>
      </c>
    </row>
    <row r="1050" spans="1:8" ht="36">
      <c r="A1050" s="16" t="s">
        <v>672</v>
      </c>
      <c r="B1050" s="15" t="s">
        <v>1652</v>
      </c>
      <c r="C1050" s="15" t="s">
        <v>1647</v>
      </c>
      <c r="D1050" s="15" t="s">
        <v>1099</v>
      </c>
      <c r="E1050" s="15" t="s">
        <v>575</v>
      </c>
      <c r="F1050" s="17">
        <f>F1051</f>
        <v>300</v>
      </c>
      <c r="G1050" s="17">
        <f t="shared" si="46"/>
        <v>0</v>
      </c>
      <c r="H1050" s="17">
        <f>H1051</f>
        <v>300</v>
      </c>
    </row>
    <row r="1051" spans="1:8" ht="24">
      <c r="A1051" s="16" t="s">
        <v>1195</v>
      </c>
      <c r="B1051" s="15" t="s">
        <v>1652</v>
      </c>
      <c r="C1051" s="15" t="s">
        <v>1647</v>
      </c>
      <c r="D1051" s="15" t="s">
        <v>1099</v>
      </c>
      <c r="E1051" s="15" t="s">
        <v>271</v>
      </c>
      <c r="F1051" s="17">
        <f>F1052</f>
        <v>300</v>
      </c>
      <c r="G1051" s="17">
        <f t="shared" si="46"/>
        <v>0</v>
      </c>
      <c r="H1051" s="17">
        <f>H1052</f>
        <v>300</v>
      </c>
    </row>
    <row r="1052" spans="1:8" ht="24">
      <c r="A1052" s="16" t="s">
        <v>269</v>
      </c>
      <c r="B1052" s="15" t="s">
        <v>1652</v>
      </c>
      <c r="C1052" s="15" t="s">
        <v>1647</v>
      </c>
      <c r="D1052" s="15" t="s">
        <v>1099</v>
      </c>
      <c r="E1052" s="15" t="s">
        <v>570</v>
      </c>
      <c r="F1052" s="18">
        <v>300</v>
      </c>
      <c r="G1052" s="17">
        <f t="shared" si="46"/>
        <v>0</v>
      </c>
      <c r="H1052" s="18">
        <v>300</v>
      </c>
    </row>
    <row r="1053" spans="1:8" ht="24">
      <c r="A1053" s="16" t="s">
        <v>2002</v>
      </c>
      <c r="B1053" s="15" t="s">
        <v>1652</v>
      </c>
      <c r="C1053" s="15" t="s">
        <v>1647</v>
      </c>
      <c r="D1053" s="15" t="s">
        <v>118</v>
      </c>
      <c r="E1053" s="15" t="s">
        <v>575</v>
      </c>
      <c r="F1053" s="17">
        <f>F1054</f>
        <v>126</v>
      </c>
      <c r="G1053" s="17">
        <f t="shared" si="46"/>
        <v>126</v>
      </c>
      <c r="H1053" s="17">
        <f>H1054</f>
        <v>0</v>
      </c>
    </row>
    <row r="1054" spans="1:8" ht="24">
      <c r="A1054" s="16" t="s">
        <v>1195</v>
      </c>
      <c r="B1054" s="15" t="s">
        <v>1652</v>
      </c>
      <c r="C1054" s="15" t="s">
        <v>1647</v>
      </c>
      <c r="D1054" s="15" t="s">
        <v>118</v>
      </c>
      <c r="E1054" s="15" t="s">
        <v>271</v>
      </c>
      <c r="F1054" s="17">
        <f>F1055+F1056</f>
        <v>126</v>
      </c>
      <c r="G1054" s="17">
        <f t="shared" si="46"/>
        <v>126</v>
      </c>
      <c r="H1054" s="17">
        <f>H1055</f>
        <v>0</v>
      </c>
    </row>
    <row r="1055" spans="1:8" ht="24">
      <c r="A1055" s="16" t="s">
        <v>269</v>
      </c>
      <c r="B1055" s="15" t="s">
        <v>1652</v>
      </c>
      <c r="C1055" s="15" t="s">
        <v>1647</v>
      </c>
      <c r="D1055" s="15" t="s">
        <v>118</v>
      </c>
      <c r="E1055" s="15" t="s">
        <v>570</v>
      </c>
      <c r="F1055" s="18">
        <v>6</v>
      </c>
      <c r="G1055" s="17">
        <f t="shared" si="46"/>
        <v>6</v>
      </c>
      <c r="H1055" s="18">
        <v>0</v>
      </c>
    </row>
    <row r="1056" spans="1:8" ht="24">
      <c r="A1056" s="16" t="s">
        <v>466</v>
      </c>
      <c r="B1056" s="15" t="s">
        <v>1652</v>
      </c>
      <c r="C1056" s="15" t="s">
        <v>1647</v>
      </c>
      <c r="D1056" s="15" t="s">
        <v>118</v>
      </c>
      <c r="E1056" s="39" t="s">
        <v>180</v>
      </c>
      <c r="F1056" s="17">
        <f>F1057+F1058</f>
        <v>120</v>
      </c>
      <c r="G1056" s="17">
        <f t="shared" si="46"/>
        <v>120</v>
      </c>
      <c r="H1056" s="18"/>
    </row>
    <row r="1057" spans="1:8" ht="36">
      <c r="A1057" s="16" t="s">
        <v>1951</v>
      </c>
      <c r="B1057" s="15" t="s">
        <v>1652</v>
      </c>
      <c r="C1057" s="15" t="s">
        <v>1647</v>
      </c>
      <c r="D1057" s="15" t="s">
        <v>84</v>
      </c>
      <c r="E1057" s="39" t="s">
        <v>180</v>
      </c>
      <c r="F1057" s="18">
        <v>120</v>
      </c>
      <c r="G1057" s="17">
        <f t="shared" si="46"/>
        <v>120</v>
      </c>
      <c r="H1057" s="18"/>
    </row>
    <row r="1058" spans="1:8" ht="24.75" hidden="1">
      <c r="A1058" s="16" t="s">
        <v>1379</v>
      </c>
      <c r="B1058" s="15" t="s">
        <v>1652</v>
      </c>
      <c r="C1058" s="15" t="s">
        <v>1647</v>
      </c>
      <c r="D1058" s="15" t="s">
        <v>84</v>
      </c>
      <c r="E1058" s="39" t="s">
        <v>180</v>
      </c>
      <c r="F1058" s="18"/>
      <c r="G1058" s="17">
        <f t="shared" si="46"/>
        <v>0</v>
      </c>
      <c r="H1058" s="18"/>
    </row>
    <row r="1059" spans="1:8" ht="36" hidden="1">
      <c r="A1059" s="121" t="s">
        <v>1085</v>
      </c>
      <c r="B1059" s="15" t="s">
        <v>1652</v>
      </c>
      <c r="C1059" s="15" t="s">
        <v>1647</v>
      </c>
      <c r="D1059" s="15" t="s">
        <v>1615</v>
      </c>
      <c r="E1059" s="39" t="s">
        <v>575</v>
      </c>
      <c r="F1059" s="17">
        <f>F1060</f>
        <v>0</v>
      </c>
      <c r="G1059" s="17">
        <f t="shared" si="46"/>
        <v>0</v>
      </c>
      <c r="H1059" s="18"/>
    </row>
    <row r="1060" spans="1:8" ht="24.75" hidden="1">
      <c r="A1060" s="16" t="s">
        <v>969</v>
      </c>
      <c r="B1060" s="15" t="s">
        <v>1652</v>
      </c>
      <c r="C1060" s="15" t="s">
        <v>1647</v>
      </c>
      <c r="D1060" s="15" t="s">
        <v>1615</v>
      </c>
      <c r="E1060" s="39" t="s">
        <v>180</v>
      </c>
      <c r="F1060" s="17">
        <f>F1061+F1062</f>
        <v>0</v>
      </c>
      <c r="G1060" s="17">
        <f t="shared" si="46"/>
        <v>0</v>
      </c>
      <c r="H1060" s="18"/>
    </row>
    <row r="1061" spans="1:8" ht="48" hidden="1">
      <c r="A1061" s="16" t="s">
        <v>882</v>
      </c>
      <c r="B1061" s="15" t="s">
        <v>1652</v>
      </c>
      <c r="C1061" s="15" t="s">
        <v>1647</v>
      </c>
      <c r="D1061" s="15" t="s">
        <v>1615</v>
      </c>
      <c r="E1061" s="39" t="s">
        <v>180</v>
      </c>
      <c r="F1061" s="18">
        <v>0</v>
      </c>
      <c r="G1061" s="17">
        <f t="shared" si="46"/>
        <v>0</v>
      </c>
      <c r="H1061" s="18"/>
    </row>
    <row r="1062" spans="1:8" ht="24.75" hidden="1">
      <c r="A1062" s="16" t="s">
        <v>369</v>
      </c>
      <c r="B1062" s="15" t="s">
        <v>1652</v>
      </c>
      <c r="C1062" s="15" t="s">
        <v>1647</v>
      </c>
      <c r="D1062" s="15" t="s">
        <v>1615</v>
      </c>
      <c r="E1062" s="39" t="s">
        <v>180</v>
      </c>
      <c r="F1062" s="18"/>
      <c r="G1062" s="17">
        <f t="shared" si="46"/>
        <v>0</v>
      </c>
      <c r="H1062" s="18"/>
    </row>
    <row r="1063" spans="1:8" ht="24">
      <c r="A1063" s="40" t="s">
        <v>754</v>
      </c>
      <c r="B1063" s="15" t="s">
        <v>1652</v>
      </c>
      <c r="C1063" s="15" t="s">
        <v>1652</v>
      </c>
      <c r="D1063" s="15"/>
      <c r="E1063" s="15"/>
      <c r="F1063" s="17">
        <f>F1064+F1066+F1079</f>
        <v>32789.9</v>
      </c>
      <c r="G1063" s="17">
        <f>G1064+G1066+G1079</f>
        <v>28674.9</v>
      </c>
      <c r="H1063" s="17">
        <f>H1064+H1066+H1079</f>
        <v>4115</v>
      </c>
    </row>
    <row r="1064" spans="1:8" ht="24.75" hidden="1">
      <c r="A1064" s="36" t="s">
        <v>101</v>
      </c>
      <c r="B1064" s="15" t="s">
        <v>1652</v>
      </c>
      <c r="C1064" s="15" t="s">
        <v>1652</v>
      </c>
      <c r="D1064" s="15" t="s">
        <v>102</v>
      </c>
      <c r="E1064" s="15"/>
      <c r="F1064" s="17">
        <f>F1065</f>
        <v>0</v>
      </c>
      <c r="G1064" s="17">
        <f>G1065</f>
        <v>0</v>
      </c>
      <c r="H1064" s="17">
        <f>H1065</f>
        <v>0</v>
      </c>
    </row>
    <row r="1065" spans="1:8" ht="24.75" hidden="1">
      <c r="A1065" s="27" t="s">
        <v>459</v>
      </c>
      <c r="B1065" s="15" t="s">
        <v>1652</v>
      </c>
      <c r="C1065" s="15" t="s">
        <v>1652</v>
      </c>
      <c r="D1065" s="15" t="s">
        <v>102</v>
      </c>
      <c r="E1065" s="15" t="s">
        <v>460</v>
      </c>
      <c r="F1065" s="18"/>
      <c r="G1065" s="17">
        <f>F1065-H1065</f>
        <v>0</v>
      </c>
      <c r="H1065" s="18"/>
    </row>
    <row r="1066" spans="1:8" ht="48">
      <c r="A1066" s="30" t="s">
        <v>1542</v>
      </c>
      <c r="B1066" s="15" t="s">
        <v>1652</v>
      </c>
      <c r="C1066" s="15" t="s">
        <v>1652</v>
      </c>
      <c r="D1066" s="15" t="s">
        <v>1543</v>
      </c>
      <c r="E1066" s="39"/>
      <c r="F1066" s="17">
        <f>F1067+F1077</f>
        <v>13143.699999999999</v>
      </c>
      <c r="G1066" s="17">
        <f>G1067+G1077</f>
        <v>9028.699999999999</v>
      </c>
      <c r="H1066" s="17">
        <f>H1067+H1077</f>
        <v>4115</v>
      </c>
    </row>
    <row r="1067" spans="1:8" ht="24">
      <c r="A1067" s="16" t="s">
        <v>500</v>
      </c>
      <c r="B1067" s="15" t="s">
        <v>1652</v>
      </c>
      <c r="C1067" s="15" t="s">
        <v>1652</v>
      </c>
      <c r="D1067" s="15" t="s">
        <v>229</v>
      </c>
      <c r="E1067" s="39" t="s">
        <v>575</v>
      </c>
      <c r="F1067" s="17">
        <f>F1068+F1069+F1074+F1073+F1075+F1076</f>
        <v>13123.8</v>
      </c>
      <c r="G1067" s="17">
        <f>G1068+G1069+G1074+G1073+G1075+G1076</f>
        <v>9008.8</v>
      </c>
      <c r="H1067" s="17">
        <f>H1068+H1069+H1074+H1075+H1076</f>
        <v>4115</v>
      </c>
    </row>
    <row r="1068" spans="1:8" ht="24">
      <c r="A1068" s="16" t="s">
        <v>382</v>
      </c>
      <c r="B1068" s="15" t="s">
        <v>1652</v>
      </c>
      <c r="C1068" s="15" t="s">
        <v>1652</v>
      </c>
      <c r="D1068" s="15" t="s">
        <v>229</v>
      </c>
      <c r="E1068" s="39" t="s">
        <v>383</v>
      </c>
      <c r="F1068" s="18">
        <f>6010.9+1815.3+62.6+207.5+18.9+62.7</f>
        <v>8177.9</v>
      </c>
      <c r="G1068" s="17">
        <f aca="true" t="shared" si="47" ref="G1068:G1078">F1068-H1068</f>
        <v>8177.9</v>
      </c>
      <c r="H1068" s="18"/>
    </row>
    <row r="1069" spans="1:8" ht="24">
      <c r="A1069" s="35" t="s">
        <v>528</v>
      </c>
      <c r="B1069" s="15" t="s">
        <v>1652</v>
      </c>
      <c r="C1069" s="15" t="s">
        <v>1652</v>
      </c>
      <c r="D1069" s="15" t="s">
        <v>229</v>
      </c>
      <c r="E1069" s="39" t="s">
        <v>1644</v>
      </c>
      <c r="F1069" s="17">
        <f>F1070+F1071+F1072</f>
        <v>830.8</v>
      </c>
      <c r="G1069" s="17">
        <f t="shared" si="47"/>
        <v>830.8</v>
      </c>
      <c r="H1069" s="18"/>
    </row>
    <row r="1070" spans="1:8" ht="36">
      <c r="A1070" s="16" t="s">
        <v>848</v>
      </c>
      <c r="B1070" s="15" t="s">
        <v>1652</v>
      </c>
      <c r="C1070" s="15" t="s">
        <v>1652</v>
      </c>
      <c r="D1070" s="15" t="s">
        <v>229</v>
      </c>
      <c r="E1070" s="39" t="s">
        <v>846</v>
      </c>
      <c r="F1070" s="18">
        <v>204</v>
      </c>
      <c r="G1070" s="17">
        <f t="shared" si="47"/>
        <v>204</v>
      </c>
      <c r="H1070" s="18"/>
    </row>
    <row r="1071" spans="1:8" ht="36">
      <c r="A1071" s="35" t="s">
        <v>95</v>
      </c>
      <c r="B1071" s="15" t="s">
        <v>1652</v>
      </c>
      <c r="C1071" s="15" t="s">
        <v>1652</v>
      </c>
      <c r="D1071" s="15" t="s">
        <v>229</v>
      </c>
      <c r="E1071" s="39" t="s">
        <v>699</v>
      </c>
      <c r="F1071" s="18">
        <v>100</v>
      </c>
      <c r="G1071" s="17">
        <f t="shared" si="47"/>
        <v>100</v>
      </c>
      <c r="H1071" s="18"/>
    </row>
    <row r="1072" spans="1:8" ht="24">
      <c r="A1072" s="155" t="s">
        <v>1535</v>
      </c>
      <c r="B1072" s="15" t="s">
        <v>1652</v>
      </c>
      <c r="C1072" s="15" t="s">
        <v>1652</v>
      </c>
      <c r="D1072" s="15" t="s">
        <v>229</v>
      </c>
      <c r="E1072" s="39" t="s">
        <v>1536</v>
      </c>
      <c r="F1072" s="18">
        <v>526.8</v>
      </c>
      <c r="G1072" s="17">
        <f t="shared" si="47"/>
        <v>526.8</v>
      </c>
      <c r="H1072" s="18"/>
    </row>
    <row r="1073" spans="1:8" ht="16.5" customHeight="1">
      <c r="A1073" s="35" t="s">
        <v>1020</v>
      </c>
      <c r="B1073" s="15" t="s">
        <v>1652</v>
      </c>
      <c r="C1073" s="15" t="s">
        <v>1652</v>
      </c>
      <c r="D1073" s="15" t="s">
        <v>229</v>
      </c>
      <c r="E1073" s="39" t="s">
        <v>1021</v>
      </c>
      <c r="F1073" s="18">
        <v>0.1</v>
      </c>
      <c r="G1073" s="17">
        <f t="shared" si="47"/>
        <v>0.1</v>
      </c>
      <c r="H1073" s="18"/>
    </row>
    <row r="1074" spans="1:8" ht="24">
      <c r="A1074" s="16" t="s">
        <v>382</v>
      </c>
      <c r="B1074" s="15" t="s">
        <v>1652</v>
      </c>
      <c r="C1074" s="15" t="s">
        <v>1652</v>
      </c>
      <c r="D1074" s="15" t="s">
        <v>578</v>
      </c>
      <c r="E1074" s="39" t="s">
        <v>383</v>
      </c>
      <c r="F1074" s="18">
        <v>4088</v>
      </c>
      <c r="G1074" s="17">
        <f t="shared" si="47"/>
        <v>0</v>
      </c>
      <c r="H1074" s="18">
        <v>4088</v>
      </c>
    </row>
    <row r="1075" spans="1:8" ht="36" hidden="1">
      <c r="A1075" s="16" t="s">
        <v>848</v>
      </c>
      <c r="B1075" s="15" t="s">
        <v>1652</v>
      </c>
      <c r="C1075" s="15" t="s">
        <v>1652</v>
      </c>
      <c r="D1075" s="15" t="s">
        <v>578</v>
      </c>
      <c r="E1075" s="39" t="s">
        <v>846</v>
      </c>
      <c r="F1075" s="18">
        <f>27-27</f>
        <v>0</v>
      </c>
      <c r="G1075" s="17">
        <f t="shared" si="47"/>
        <v>0</v>
      </c>
      <c r="H1075" s="18">
        <f>27-27</f>
        <v>0</v>
      </c>
    </row>
    <row r="1076" spans="1:8" ht="24">
      <c r="A1076" s="155" t="s">
        <v>1535</v>
      </c>
      <c r="B1076" s="15" t="s">
        <v>1652</v>
      </c>
      <c r="C1076" s="15" t="s">
        <v>1652</v>
      </c>
      <c r="D1076" s="15" t="s">
        <v>578</v>
      </c>
      <c r="E1076" s="39" t="s">
        <v>1536</v>
      </c>
      <c r="F1076" s="18">
        <v>27</v>
      </c>
      <c r="G1076" s="17"/>
      <c r="H1076" s="18">
        <v>27</v>
      </c>
    </row>
    <row r="1077" spans="1:8" ht="24">
      <c r="A1077" s="156" t="s">
        <v>1665</v>
      </c>
      <c r="B1077" s="15" t="s">
        <v>1652</v>
      </c>
      <c r="C1077" s="15" t="s">
        <v>1652</v>
      </c>
      <c r="D1077" s="15" t="s">
        <v>1635</v>
      </c>
      <c r="E1077" s="39" t="s">
        <v>575</v>
      </c>
      <c r="F1077" s="17">
        <f>F1078</f>
        <v>19.9</v>
      </c>
      <c r="G1077" s="17">
        <f t="shared" si="47"/>
        <v>19.9</v>
      </c>
      <c r="H1077" s="18"/>
    </row>
    <row r="1078" spans="1:8" ht="24">
      <c r="A1078" s="156" t="s">
        <v>1665</v>
      </c>
      <c r="B1078" s="15" t="s">
        <v>1652</v>
      </c>
      <c r="C1078" s="15" t="s">
        <v>1652</v>
      </c>
      <c r="D1078" s="15" t="s">
        <v>1635</v>
      </c>
      <c r="E1078" s="39" t="s">
        <v>1066</v>
      </c>
      <c r="F1078" s="18">
        <v>19.9</v>
      </c>
      <c r="G1078" s="17">
        <f t="shared" si="47"/>
        <v>19.9</v>
      </c>
      <c r="H1078" s="18"/>
    </row>
    <row r="1079" spans="1:8" ht="60">
      <c r="A1079" s="31" t="s">
        <v>1887</v>
      </c>
      <c r="B1079" s="15" t="s">
        <v>1652</v>
      </c>
      <c r="C1079" s="15" t="s">
        <v>1652</v>
      </c>
      <c r="D1079" s="15" t="s">
        <v>2006</v>
      </c>
      <c r="E1079" s="39" t="s">
        <v>575</v>
      </c>
      <c r="F1079" s="17">
        <f>F1080</f>
        <v>19646.2</v>
      </c>
      <c r="G1079" s="17">
        <f>G1080</f>
        <v>19646.2</v>
      </c>
      <c r="H1079" s="17">
        <f>H1080</f>
        <v>0</v>
      </c>
    </row>
    <row r="1080" spans="1:8" ht="24">
      <c r="A1080" s="27" t="s">
        <v>2002</v>
      </c>
      <c r="B1080" s="15" t="s">
        <v>1652</v>
      </c>
      <c r="C1080" s="15" t="s">
        <v>1652</v>
      </c>
      <c r="D1080" s="15" t="s">
        <v>594</v>
      </c>
      <c r="E1080" s="39" t="s">
        <v>575</v>
      </c>
      <c r="F1080" s="17">
        <f>F1081</f>
        <v>19646.2</v>
      </c>
      <c r="G1080" s="17">
        <f aca="true" t="shared" si="48" ref="G1080:G1089">F1080-H1080</f>
        <v>19646.2</v>
      </c>
      <c r="H1080" s="18"/>
    </row>
    <row r="1081" spans="1:8" ht="24">
      <c r="A1081" s="16" t="s">
        <v>372</v>
      </c>
      <c r="B1081" s="15" t="s">
        <v>1652</v>
      </c>
      <c r="C1081" s="15" t="s">
        <v>1652</v>
      </c>
      <c r="D1081" s="15" t="s">
        <v>594</v>
      </c>
      <c r="E1081" s="39" t="s">
        <v>271</v>
      </c>
      <c r="F1081" s="17">
        <f>F1085+F1082+F1083</f>
        <v>19646.2</v>
      </c>
      <c r="G1081" s="17">
        <f t="shared" si="48"/>
        <v>19646.2</v>
      </c>
      <c r="H1081" s="18"/>
    </row>
    <row r="1082" spans="1:8" ht="24">
      <c r="A1082" s="16" t="s">
        <v>269</v>
      </c>
      <c r="B1082" s="15" t="s">
        <v>1652</v>
      </c>
      <c r="C1082" s="15" t="s">
        <v>1652</v>
      </c>
      <c r="D1082" s="15" t="s">
        <v>594</v>
      </c>
      <c r="E1082" s="39" t="s">
        <v>570</v>
      </c>
      <c r="F1082" s="18">
        <f>17790+202+180+308.7+140.5+175</f>
        <v>18796.2</v>
      </c>
      <c r="G1082" s="17">
        <f t="shared" si="48"/>
        <v>18796.2</v>
      </c>
      <c r="H1082" s="18"/>
    </row>
    <row r="1083" spans="1:8" ht="24.75" hidden="1">
      <c r="A1083" s="16" t="s">
        <v>466</v>
      </c>
      <c r="B1083" s="15" t="s">
        <v>1652</v>
      </c>
      <c r="C1083" s="15" t="s">
        <v>1652</v>
      </c>
      <c r="D1083" s="15" t="s">
        <v>594</v>
      </c>
      <c r="E1083" s="39" t="s">
        <v>180</v>
      </c>
      <c r="F1083" s="17">
        <f>F1084</f>
        <v>0</v>
      </c>
      <c r="G1083" s="17">
        <f t="shared" si="48"/>
        <v>0</v>
      </c>
      <c r="H1083" s="18"/>
    </row>
    <row r="1084" spans="1:8" ht="24.75" hidden="1">
      <c r="A1084" s="16" t="s">
        <v>773</v>
      </c>
      <c r="B1084" s="15" t="s">
        <v>1652</v>
      </c>
      <c r="C1084" s="15" t="s">
        <v>1652</v>
      </c>
      <c r="D1084" s="15" t="s">
        <v>594</v>
      </c>
      <c r="E1084" s="39" t="s">
        <v>180</v>
      </c>
      <c r="F1084" s="18">
        <f>100-100</f>
        <v>0</v>
      </c>
      <c r="G1084" s="17">
        <f t="shared" si="48"/>
        <v>0</v>
      </c>
      <c r="H1084" s="18"/>
    </row>
    <row r="1085" spans="1:8" ht="24">
      <c r="A1085" s="31" t="s">
        <v>1664</v>
      </c>
      <c r="B1085" s="15" t="s">
        <v>1652</v>
      </c>
      <c r="C1085" s="15" t="s">
        <v>1652</v>
      </c>
      <c r="D1085" s="15" t="s">
        <v>1663</v>
      </c>
      <c r="E1085" s="39"/>
      <c r="F1085" s="17">
        <f>F1086</f>
        <v>850</v>
      </c>
      <c r="G1085" s="17">
        <f t="shared" si="48"/>
        <v>850</v>
      </c>
      <c r="H1085" s="18"/>
    </row>
    <row r="1086" spans="1:8" ht="36">
      <c r="A1086" s="121" t="s">
        <v>1085</v>
      </c>
      <c r="B1086" s="15" t="s">
        <v>1652</v>
      </c>
      <c r="C1086" s="15" t="s">
        <v>1652</v>
      </c>
      <c r="D1086" s="15" t="s">
        <v>1615</v>
      </c>
      <c r="E1086" s="39" t="s">
        <v>575</v>
      </c>
      <c r="F1086" s="17">
        <f>F1087</f>
        <v>850</v>
      </c>
      <c r="G1086" s="17">
        <f t="shared" si="48"/>
        <v>850</v>
      </c>
      <c r="H1086" s="18"/>
    </row>
    <row r="1087" spans="1:8" ht="24">
      <c r="A1087" s="16" t="s">
        <v>466</v>
      </c>
      <c r="B1087" s="15" t="s">
        <v>1652</v>
      </c>
      <c r="C1087" s="15" t="s">
        <v>1652</v>
      </c>
      <c r="D1087" s="15" t="s">
        <v>1615</v>
      </c>
      <c r="E1087" s="39" t="s">
        <v>180</v>
      </c>
      <c r="F1087" s="17">
        <f>F1088+F1089</f>
        <v>850</v>
      </c>
      <c r="G1087" s="17">
        <f t="shared" si="48"/>
        <v>850</v>
      </c>
      <c r="H1087" s="18"/>
    </row>
    <row r="1088" spans="1:8" ht="24">
      <c r="A1088" s="16" t="s">
        <v>369</v>
      </c>
      <c r="B1088" s="15" t="s">
        <v>1652</v>
      </c>
      <c r="C1088" s="15" t="s">
        <v>1652</v>
      </c>
      <c r="D1088" s="15" t="s">
        <v>1615</v>
      </c>
      <c r="E1088" s="39" t="s">
        <v>180</v>
      </c>
      <c r="F1088" s="18">
        <v>400</v>
      </c>
      <c r="G1088" s="17">
        <f t="shared" si="48"/>
        <v>400</v>
      </c>
      <c r="H1088" s="18"/>
    </row>
    <row r="1089" spans="1:8" ht="36">
      <c r="A1089" s="16" t="s">
        <v>1477</v>
      </c>
      <c r="B1089" s="15" t="s">
        <v>1652</v>
      </c>
      <c r="C1089" s="15" t="s">
        <v>1652</v>
      </c>
      <c r="D1089" s="15" t="s">
        <v>1615</v>
      </c>
      <c r="E1089" s="39" t="s">
        <v>180</v>
      </c>
      <c r="F1089" s="18">
        <f>100+350</f>
        <v>450</v>
      </c>
      <c r="G1089" s="17">
        <f t="shared" si="48"/>
        <v>450</v>
      </c>
      <c r="H1089" s="18"/>
    </row>
    <row r="1090" spans="1:8" ht="24.75" customHeight="1">
      <c r="A1090" s="22" t="s">
        <v>1641</v>
      </c>
      <c r="B1090" s="21" t="s">
        <v>1650</v>
      </c>
      <c r="C1090" s="21"/>
      <c r="D1090" s="21"/>
      <c r="E1090" s="21"/>
      <c r="F1090" s="2">
        <f>F1091+F1096+F1245</f>
        <v>173197</v>
      </c>
      <c r="G1090" s="2">
        <f>G1091+G1096+G1245</f>
        <v>80379.79999999999</v>
      </c>
      <c r="H1090" s="2">
        <f>H1091+H1096+H1245</f>
        <v>92817.2</v>
      </c>
    </row>
    <row r="1091" spans="1:8" ht="15">
      <c r="A1091" s="29" t="s">
        <v>1638</v>
      </c>
      <c r="B1091" s="25" t="s">
        <v>1650</v>
      </c>
      <c r="C1091" s="25" t="s">
        <v>1624</v>
      </c>
      <c r="D1091" s="25"/>
      <c r="E1091" s="25"/>
      <c r="F1091" s="28">
        <f>F1092</f>
        <v>6905.8</v>
      </c>
      <c r="G1091" s="28">
        <f>G1092</f>
        <v>6905.8</v>
      </c>
      <c r="H1091" s="28">
        <f>H1092</f>
        <v>0</v>
      </c>
    </row>
    <row r="1092" spans="1:8" ht="15">
      <c r="A1092" s="30" t="s">
        <v>582</v>
      </c>
      <c r="B1092" s="25" t="s">
        <v>1650</v>
      </c>
      <c r="C1092" s="25" t="s">
        <v>1624</v>
      </c>
      <c r="D1092" s="25" t="s">
        <v>583</v>
      </c>
      <c r="E1092" s="25"/>
      <c r="F1092" s="28">
        <f>F1094</f>
        <v>6905.8</v>
      </c>
      <c r="G1092" s="28">
        <f>G1094</f>
        <v>6905.8</v>
      </c>
      <c r="H1092" s="28">
        <f>H1094</f>
        <v>0</v>
      </c>
    </row>
    <row r="1093" spans="1:8" ht="24">
      <c r="A1093" s="159" t="s">
        <v>1167</v>
      </c>
      <c r="B1093" s="15" t="s">
        <v>1650</v>
      </c>
      <c r="C1093" s="15" t="s">
        <v>1624</v>
      </c>
      <c r="D1093" s="15" t="s">
        <v>1168</v>
      </c>
      <c r="E1093" s="15"/>
      <c r="F1093" s="17">
        <f>F1094</f>
        <v>6905.8</v>
      </c>
      <c r="G1093" s="17">
        <f aca="true" t="shared" si="49" ref="G1093:G1099">F1093-H1093</f>
        <v>6905.8</v>
      </c>
      <c r="H1093" s="28"/>
    </row>
    <row r="1094" spans="1:8" ht="35.25" customHeight="1">
      <c r="A1094" s="16" t="s">
        <v>1508</v>
      </c>
      <c r="B1094" s="15" t="s">
        <v>1650</v>
      </c>
      <c r="C1094" s="15" t="s">
        <v>1624</v>
      </c>
      <c r="D1094" s="15" t="s">
        <v>1169</v>
      </c>
      <c r="E1094" s="15" t="s">
        <v>575</v>
      </c>
      <c r="F1094" s="17">
        <f>F1095</f>
        <v>6905.8</v>
      </c>
      <c r="G1094" s="17">
        <f t="shared" si="49"/>
        <v>6905.8</v>
      </c>
      <c r="H1094" s="38"/>
    </row>
    <row r="1095" spans="1:8" ht="28.5" customHeight="1">
      <c r="A1095" s="16" t="s">
        <v>1552</v>
      </c>
      <c r="B1095" s="15" t="s">
        <v>1650</v>
      </c>
      <c r="C1095" s="15" t="s">
        <v>1624</v>
      </c>
      <c r="D1095" s="15" t="s">
        <v>1169</v>
      </c>
      <c r="E1095" s="15" t="s">
        <v>1553</v>
      </c>
      <c r="F1095" s="18">
        <v>6905.8</v>
      </c>
      <c r="G1095" s="17">
        <f t="shared" si="49"/>
        <v>6905.8</v>
      </c>
      <c r="H1095" s="38"/>
    </row>
    <row r="1096" spans="1:8" ht="15">
      <c r="A1096" s="29" t="s">
        <v>267</v>
      </c>
      <c r="B1096" s="15" t="s">
        <v>1650</v>
      </c>
      <c r="C1096" s="15" t="s">
        <v>1653</v>
      </c>
      <c r="D1096" s="15"/>
      <c r="E1096" s="15"/>
      <c r="F1096" s="28">
        <f>F1097+F1100+F1107+F1110+F1227</f>
        <v>122549.6</v>
      </c>
      <c r="G1096" s="28">
        <f>G1097+G1100+G1107+G1110+G1227</f>
        <v>73444.4</v>
      </c>
      <c r="H1096" s="28">
        <f>H1097+H1100+H1107+H1110+H1227</f>
        <v>49105.2</v>
      </c>
    </row>
    <row r="1097" spans="1:8" ht="24">
      <c r="A1097" s="35" t="s">
        <v>819</v>
      </c>
      <c r="B1097" s="15" t="s">
        <v>1650</v>
      </c>
      <c r="C1097" s="15" t="s">
        <v>1653</v>
      </c>
      <c r="D1097" s="15" t="s">
        <v>503</v>
      </c>
      <c r="E1097" s="15"/>
      <c r="F1097" s="28">
        <f>F1098</f>
        <v>2840.6</v>
      </c>
      <c r="G1097" s="28">
        <f>G1098</f>
        <v>2840.6</v>
      </c>
      <c r="H1097" s="28"/>
    </row>
    <row r="1098" spans="1:8" ht="96">
      <c r="A1098" s="35" t="s">
        <v>821</v>
      </c>
      <c r="B1098" s="15" t="s">
        <v>1650</v>
      </c>
      <c r="C1098" s="15" t="s">
        <v>1653</v>
      </c>
      <c r="D1098" s="15" t="s">
        <v>820</v>
      </c>
      <c r="E1098" s="15" t="s">
        <v>575</v>
      </c>
      <c r="F1098" s="17">
        <f>F1099</f>
        <v>2840.6</v>
      </c>
      <c r="G1098" s="17">
        <f t="shared" si="49"/>
        <v>2840.6</v>
      </c>
      <c r="H1098" s="28"/>
    </row>
    <row r="1099" spans="1:8" ht="24">
      <c r="A1099" s="35" t="s">
        <v>235</v>
      </c>
      <c r="B1099" s="15" t="s">
        <v>1650</v>
      </c>
      <c r="C1099" s="15" t="s">
        <v>1653</v>
      </c>
      <c r="D1099" s="15" t="s">
        <v>820</v>
      </c>
      <c r="E1099" s="15" t="s">
        <v>88</v>
      </c>
      <c r="F1099" s="18">
        <v>2840.6</v>
      </c>
      <c r="G1099" s="17">
        <f t="shared" si="49"/>
        <v>2840.6</v>
      </c>
      <c r="H1099" s="28"/>
    </row>
    <row r="1100" spans="1:21" s="63" customFormat="1" ht="36">
      <c r="A1100" s="35" t="s">
        <v>85</v>
      </c>
      <c r="B1100" s="15" t="s">
        <v>1650</v>
      </c>
      <c r="C1100" s="15" t="s">
        <v>1653</v>
      </c>
      <c r="D1100" s="15" t="s">
        <v>86</v>
      </c>
      <c r="E1100" s="15"/>
      <c r="F1100" s="82">
        <f>F1101+F1104</f>
        <v>16268.5</v>
      </c>
      <c r="G1100" s="82">
        <f>G1101+G1104</f>
        <v>16268.5</v>
      </c>
      <c r="H1100" s="82">
        <f>H1101+H1104</f>
        <v>0</v>
      </c>
      <c r="I1100" s="80"/>
      <c r="J1100" s="81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</row>
    <row r="1101" spans="1:21" s="63" customFormat="1" ht="36">
      <c r="A1101" s="35" t="s">
        <v>165</v>
      </c>
      <c r="B1101" s="15" t="s">
        <v>1650</v>
      </c>
      <c r="C1101" s="15" t="s">
        <v>1653</v>
      </c>
      <c r="D1101" s="15" t="s">
        <v>579</v>
      </c>
      <c r="E1101" s="15" t="s">
        <v>575</v>
      </c>
      <c r="F1101" s="82">
        <f>F1102</f>
        <v>14948.1</v>
      </c>
      <c r="G1101" s="17">
        <f aca="true" t="shared" si="50" ref="G1101:G1109">F1101-H1101</f>
        <v>14948.1</v>
      </c>
      <c r="H1101" s="82">
        <f>H1103</f>
        <v>0</v>
      </c>
      <c r="I1101" s="80"/>
      <c r="J1101" s="81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</row>
    <row r="1102" spans="1:21" s="63" customFormat="1" ht="24">
      <c r="A1102" s="35" t="s">
        <v>232</v>
      </c>
      <c r="B1102" s="15" t="s">
        <v>1650</v>
      </c>
      <c r="C1102" s="15" t="s">
        <v>1653</v>
      </c>
      <c r="D1102" s="15" t="s">
        <v>579</v>
      </c>
      <c r="E1102" s="15" t="s">
        <v>233</v>
      </c>
      <c r="F1102" s="82">
        <f>F1103</f>
        <v>14948.1</v>
      </c>
      <c r="G1102" s="17">
        <f t="shared" si="50"/>
        <v>14948.1</v>
      </c>
      <c r="H1102" s="82"/>
      <c r="I1102" s="80"/>
      <c r="J1102" s="81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</row>
    <row r="1103" spans="1:21" s="63" customFormat="1" ht="24">
      <c r="A1103" s="35" t="s">
        <v>235</v>
      </c>
      <c r="B1103" s="15" t="s">
        <v>1650</v>
      </c>
      <c r="C1103" s="15" t="s">
        <v>1653</v>
      </c>
      <c r="D1103" s="15" t="s">
        <v>579</v>
      </c>
      <c r="E1103" s="15" t="s">
        <v>88</v>
      </c>
      <c r="F1103" s="53">
        <v>14948.1</v>
      </c>
      <c r="G1103" s="17">
        <f t="shared" si="50"/>
        <v>14948.1</v>
      </c>
      <c r="H1103" s="53"/>
      <c r="I1103" s="80"/>
      <c r="J1103" s="81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</row>
    <row r="1104" spans="1:21" s="63" customFormat="1" ht="24">
      <c r="A1104" s="35" t="s">
        <v>982</v>
      </c>
      <c r="B1104" s="15" t="s">
        <v>1650</v>
      </c>
      <c r="C1104" s="15" t="s">
        <v>1653</v>
      </c>
      <c r="D1104" s="15" t="s">
        <v>87</v>
      </c>
      <c r="E1104" s="15" t="s">
        <v>575</v>
      </c>
      <c r="F1104" s="82">
        <f>F1105</f>
        <v>1320.4</v>
      </c>
      <c r="G1104" s="17">
        <f t="shared" si="50"/>
        <v>1320.4</v>
      </c>
      <c r="H1104" s="33"/>
      <c r="I1104" s="80"/>
      <c r="J1104" s="81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</row>
    <row r="1105" spans="1:21" s="63" customFormat="1" ht="24">
      <c r="A1105" s="35" t="s">
        <v>232</v>
      </c>
      <c r="B1105" s="170" t="s">
        <v>1650</v>
      </c>
      <c r="C1105" s="171" t="s">
        <v>1653</v>
      </c>
      <c r="D1105" s="171" t="s">
        <v>87</v>
      </c>
      <c r="E1105" s="15" t="s">
        <v>233</v>
      </c>
      <c r="F1105" s="82">
        <f>F1106</f>
        <v>1320.4</v>
      </c>
      <c r="G1105" s="17">
        <f t="shared" si="50"/>
        <v>1320.4</v>
      </c>
      <c r="H1105" s="33"/>
      <c r="I1105" s="80"/>
      <c r="J1105" s="81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</row>
    <row r="1106" spans="1:8" ht="24">
      <c r="A1106" s="35" t="s">
        <v>235</v>
      </c>
      <c r="B1106" s="15" t="s">
        <v>1650</v>
      </c>
      <c r="C1106" s="15" t="s">
        <v>1653</v>
      </c>
      <c r="D1106" s="15" t="s">
        <v>87</v>
      </c>
      <c r="E1106" s="15" t="s">
        <v>88</v>
      </c>
      <c r="F1106" s="18">
        <f>795.4+525</f>
        <v>1320.4</v>
      </c>
      <c r="G1106" s="17">
        <f t="shared" si="50"/>
        <v>1320.4</v>
      </c>
      <c r="H1106" s="28"/>
    </row>
    <row r="1107" spans="1:8" ht="168">
      <c r="A1107" s="35" t="s">
        <v>350</v>
      </c>
      <c r="B1107" s="15" t="s">
        <v>1380</v>
      </c>
      <c r="C1107" s="15" t="s">
        <v>1653</v>
      </c>
      <c r="D1107" s="15" t="s">
        <v>794</v>
      </c>
      <c r="E1107" s="15" t="s">
        <v>575</v>
      </c>
      <c r="F1107" s="17">
        <f>F1108</f>
        <v>1194</v>
      </c>
      <c r="G1107" s="17">
        <f t="shared" si="50"/>
        <v>0</v>
      </c>
      <c r="H1107" s="17">
        <f>H1108</f>
        <v>1194</v>
      </c>
    </row>
    <row r="1108" spans="1:8" ht="36">
      <c r="A1108" s="35" t="s">
        <v>1129</v>
      </c>
      <c r="B1108" s="15" t="s">
        <v>1380</v>
      </c>
      <c r="C1108" s="15" t="s">
        <v>1653</v>
      </c>
      <c r="D1108" s="15" t="s">
        <v>794</v>
      </c>
      <c r="E1108" s="15" t="s">
        <v>30</v>
      </c>
      <c r="F1108" s="17">
        <f>F1109</f>
        <v>1194</v>
      </c>
      <c r="G1108" s="17">
        <f t="shared" si="50"/>
        <v>0</v>
      </c>
      <c r="H1108" s="28">
        <f>H1109</f>
        <v>1194</v>
      </c>
    </row>
    <row r="1109" spans="1:8" ht="36">
      <c r="A1109" s="35" t="s">
        <v>843</v>
      </c>
      <c r="B1109" s="15" t="s">
        <v>1380</v>
      </c>
      <c r="C1109" s="15" t="s">
        <v>1653</v>
      </c>
      <c r="D1109" s="15" t="s">
        <v>794</v>
      </c>
      <c r="E1109" s="15" t="s">
        <v>844</v>
      </c>
      <c r="F1109" s="18">
        <v>1194</v>
      </c>
      <c r="G1109" s="17">
        <f t="shared" si="50"/>
        <v>0</v>
      </c>
      <c r="H1109" s="205">
        <v>1194</v>
      </c>
    </row>
    <row r="1110" spans="1:8" ht="15">
      <c r="A1110" s="30" t="s">
        <v>538</v>
      </c>
      <c r="B1110" s="15" t="s">
        <v>1650</v>
      </c>
      <c r="C1110" s="15" t="s">
        <v>1653</v>
      </c>
      <c r="D1110" s="15" t="s">
        <v>1170</v>
      </c>
      <c r="E1110" s="15"/>
      <c r="F1110" s="17">
        <f>F1111+F1206+F1212</f>
        <v>89455</v>
      </c>
      <c r="G1110" s="17">
        <f>G1111+G1206+G1212</f>
        <v>41543.8</v>
      </c>
      <c r="H1110" s="17">
        <f>H1111+H1206+H1215+H1212</f>
        <v>47911.2</v>
      </c>
    </row>
    <row r="1111" spans="1:8" ht="24">
      <c r="A1111" s="16" t="s">
        <v>1145</v>
      </c>
      <c r="B1111" s="15" t="s">
        <v>1650</v>
      </c>
      <c r="C1111" s="15" t="s">
        <v>1653</v>
      </c>
      <c r="D1111" s="15" t="s">
        <v>1144</v>
      </c>
      <c r="E1111" s="15" t="s">
        <v>575</v>
      </c>
      <c r="F1111" s="17">
        <f>F1115+F1118+F1136+F1147+F1152+F1155+F1158+F1161+F1164+F1167+F1170+F1173+F1176+F1179+F1182+F1185+F1191+F1194+F1201</f>
        <v>28563.100000000002</v>
      </c>
      <c r="G1111" s="17">
        <f>G1115+G1118+G1136+G1147+G1152+G1155+G1158+G1161+G1164+G1167+G1170+G1173+G1176+G1179+G1182+G1185+G1191+G1194+G1201</f>
        <v>16252.900000000001</v>
      </c>
      <c r="H1111" s="17">
        <f>H1115+H1118+H1136+H1147+H1152+H1155+H1158+H1161+H1164+H1167+H1170+H1173+H1176+H1179+H1182+H1185+H1191+H1194+H1201</f>
        <v>12310.2</v>
      </c>
    </row>
    <row r="1112" spans="1:21" s="63" customFormat="1" ht="24" hidden="1">
      <c r="A1112" s="35" t="s">
        <v>1953</v>
      </c>
      <c r="B1112" s="15" t="s">
        <v>1650</v>
      </c>
      <c r="C1112" s="15" t="s">
        <v>1653</v>
      </c>
      <c r="D1112" s="15" t="s">
        <v>1954</v>
      </c>
      <c r="E1112" s="15"/>
      <c r="F1112" s="33">
        <f>F1113</f>
        <v>0</v>
      </c>
      <c r="G1112" s="17">
        <f aca="true" t="shared" si="51" ref="G1112:G1121">F1112-H1112</f>
        <v>0</v>
      </c>
      <c r="H1112" s="33"/>
      <c r="I1112" s="80"/>
      <c r="J1112" s="81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</row>
    <row r="1113" spans="1:21" s="63" customFormat="1" ht="24.75" hidden="1">
      <c r="A1113" s="35" t="s">
        <v>997</v>
      </c>
      <c r="B1113" s="15" t="s">
        <v>1650</v>
      </c>
      <c r="C1113" s="15" t="s">
        <v>1653</v>
      </c>
      <c r="D1113" s="15" t="s">
        <v>1954</v>
      </c>
      <c r="E1113" s="15" t="s">
        <v>105</v>
      </c>
      <c r="F1113" s="34"/>
      <c r="G1113" s="17">
        <f t="shared" si="51"/>
        <v>0</v>
      </c>
      <c r="H1113" s="33"/>
      <c r="I1113" s="80"/>
      <c r="J1113" s="81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</row>
    <row r="1114" spans="1:21" s="63" customFormat="1" ht="24" hidden="1">
      <c r="A1114" s="35" t="s">
        <v>1894</v>
      </c>
      <c r="B1114" s="15" t="s">
        <v>1650</v>
      </c>
      <c r="C1114" s="15" t="s">
        <v>1653</v>
      </c>
      <c r="D1114" s="15" t="s">
        <v>1955</v>
      </c>
      <c r="E1114" s="15"/>
      <c r="F1114" s="33">
        <f>F1115</f>
        <v>0</v>
      </c>
      <c r="G1114" s="17">
        <f t="shared" si="51"/>
        <v>0</v>
      </c>
      <c r="H1114" s="33"/>
      <c r="I1114" s="80"/>
      <c r="J1114" s="81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</row>
    <row r="1115" spans="1:21" s="63" customFormat="1" ht="24.75" hidden="1">
      <c r="A1115" s="35" t="s">
        <v>997</v>
      </c>
      <c r="B1115" s="15" t="s">
        <v>1650</v>
      </c>
      <c r="C1115" s="15" t="s">
        <v>1653</v>
      </c>
      <c r="D1115" s="15" t="s">
        <v>1955</v>
      </c>
      <c r="E1115" s="15" t="s">
        <v>105</v>
      </c>
      <c r="F1115" s="34"/>
      <c r="G1115" s="17">
        <f t="shared" si="51"/>
        <v>0</v>
      </c>
      <c r="H1115" s="33"/>
      <c r="I1115" s="80"/>
      <c r="J1115" s="81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</row>
    <row r="1116" spans="1:21" s="63" customFormat="1" ht="24" hidden="1">
      <c r="A1116" s="35" t="s">
        <v>745</v>
      </c>
      <c r="B1116" s="15" t="s">
        <v>1650</v>
      </c>
      <c r="C1116" s="15" t="s">
        <v>1653</v>
      </c>
      <c r="D1116" s="15" t="s">
        <v>1956</v>
      </c>
      <c r="E1116" s="15"/>
      <c r="F1116" s="33">
        <f>F1117</f>
        <v>0</v>
      </c>
      <c r="G1116" s="17">
        <f t="shared" si="51"/>
        <v>0</v>
      </c>
      <c r="H1116" s="33"/>
      <c r="I1116" s="80"/>
      <c r="J1116" s="81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</row>
    <row r="1117" spans="1:21" s="63" customFormat="1" ht="36" hidden="1">
      <c r="A1117" s="35" t="s">
        <v>1957</v>
      </c>
      <c r="B1117" s="15" t="s">
        <v>1650</v>
      </c>
      <c r="C1117" s="15" t="s">
        <v>1653</v>
      </c>
      <c r="D1117" s="15" t="s">
        <v>1956</v>
      </c>
      <c r="E1117" s="15" t="s">
        <v>105</v>
      </c>
      <c r="F1117" s="53"/>
      <c r="G1117" s="17">
        <f t="shared" si="51"/>
        <v>0</v>
      </c>
      <c r="H1117" s="33"/>
      <c r="I1117" s="80"/>
      <c r="J1117" s="81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</row>
    <row r="1118" spans="1:21" s="63" customFormat="1" ht="24">
      <c r="A1118" s="141" t="s">
        <v>1165</v>
      </c>
      <c r="B1118" s="15" t="s">
        <v>1650</v>
      </c>
      <c r="C1118" s="15" t="s">
        <v>1653</v>
      </c>
      <c r="D1118" s="15" t="s">
        <v>1956</v>
      </c>
      <c r="E1118" s="15" t="s">
        <v>575</v>
      </c>
      <c r="F1118" s="17">
        <f>F1119+F1120</f>
        <v>500</v>
      </c>
      <c r="G1118" s="17">
        <f t="shared" si="51"/>
        <v>500</v>
      </c>
      <c r="H1118" s="38"/>
      <c r="I1118" s="80"/>
      <c r="J1118" s="81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</row>
    <row r="1119" spans="1:21" s="63" customFormat="1" ht="36" hidden="1">
      <c r="A1119" s="35" t="s">
        <v>1957</v>
      </c>
      <c r="B1119" s="15" t="s">
        <v>1650</v>
      </c>
      <c r="C1119" s="15" t="s">
        <v>1653</v>
      </c>
      <c r="D1119" s="15" t="s">
        <v>1956</v>
      </c>
      <c r="E1119" s="15" t="s">
        <v>30</v>
      </c>
      <c r="F1119" s="18">
        <f>3000-3000</f>
        <v>0</v>
      </c>
      <c r="G1119" s="17">
        <f t="shared" si="51"/>
        <v>0</v>
      </c>
      <c r="H1119" s="38"/>
      <c r="I1119" s="80"/>
      <c r="J1119" s="81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</row>
    <row r="1120" spans="1:21" s="63" customFormat="1" ht="82.5" customHeight="1">
      <c r="A1120" s="16" t="s">
        <v>750</v>
      </c>
      <c r="B1120" s="15" t="s">
        <v>1650</v>
      </c>
      <c r="C1120" s="15" t="s">
        <v>1653</v>
      </c>
      <c r="D1120" s="15" t="s">
        <v>1549</v>
      </c>
      <c r="E1120" s="15" t="s">
        <v>575</v>
      </c>
      <c r="F1120" s="17">
        <f>F1121</f>
        <v>500</v>
      </c>
      <c r="G1120" s="17">
        <f t="shared" si="51"/>
        <v>500</v>
      </c>
      <c r="H1120" s="17">
        <f>H1122+H1127</f>
        <v>0</v>
      </c>
      <c r="I1120" s="80"/>
      <c r="J1120" s="81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</row>
    <row r="1121" spans="1:21" s="63" customFormat="1" ht="22.5" customHeight="1">
      <c r="A1121" s="35" t="s">
        <v>842</v>
      </c>
      <c r="B1121" s="15" t="s">
        <v>1650</v>
      </c>
      <c r="C1121" s="15" t="s">
        <v>1653</v>
      </c>
      <c r="D1121" s="15" t="s">
        <v>1549</v>
      </c>
      <c r="E1121" s="15" t="s">
        <v>471</v>
      </c>
      <c r="F1121" s="17">
        <f>F1122</f>
        <v>500</v>
      </c>
      <c r="G1121" s="17">
        <f t="shared" si="51"/>
        <v>500</v>
      </c>
      <c r="H1121" s="17"/>
      <c r="I1121" s="80"/>
      <c r="J1121" s="81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</row>
    <row r="1122" spans="1:21" s="63" customFormat="1" ht="36">
      <c r="A1122" s="16" t="s">
        <v>1552</v>
      </c>
      <c r="B1122" s="15" t="s">
        <v>1650</v>
      </c>
      <c r="C1122" s="15" t="s">
        <v>1653</v>
      </c>
      <c r="D1122" s="15" t="s">
        <v>1549</v>
      </c>
      <c r="E1122" s="15" t="s">
        <v>1553</v>
      </c>
      <c r="F1122" s="18">
        <v>500</v>
      </c>
      <c r="G1122" s="17">
        <f>F1122-H1122</f>
        <v>500</v>
      </c>
      <c r="H1122" s="28"/>
      <c r="I1122" s="80"/>
      <c r="J1122" s="81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</row>
    <row r="1123" spans="1:21" s="63" customFormat="1" ht="156.75" hidden="1">
      <c r="A1123" s="160" t="s">
        <v>357</v>
      </c>
      <c r="B1123" s="15" t="s">
        <v>1650</v>
      </c>
      <c r="C1123" s="15" t="s">
        <v>1653</v>
      </c>
      <c r="D1123" s="15" t="s">
        <v>1958</v>
      </c>
      <c r="E1123" s="15" t="s">
        <v>575</v>
      </c>
      <c r="F1123" s="82">
        <f>F1124</f>
        <v>0</v>
      </c>
      <c r="G1123" s="82">
        <f>G1124</f>
        <v>0</v>
      </c>
      <c r="H1123" s="17">
        <f>H1124</f>
        <v>0</v>
      </c>
      <c r="I1123" s="80"/>
      <c r="J1123" s="81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</row>
    <row r="1124" spans="1:21" s="63" customFormat="1" ht="24.75" hidden="1">
      <c r="A1124" s="16" t="s">
        <v>997</v>
      </c>
      <c r="B1124" s="15" t="s">
        <v>1650</v>
      </c>
      <c r="C1124" s="15" t="s">
        <v>1653</v>
      </c>
      <c r="D1124" s="15" t="s">
        <v>1958</v>
      </c>
      <c r="E1124" s="15" t="s">
        <v>105</v>
      </c>
      <c r="F1124" s="34"/>
      <c r="G1124" s="17">
        <f aca="true" t="shared" si="52" ref="G1124:G1196">F1124-H1124</f>
        <v>0</v>
      </c>
      <c r="H1124" s="28">
        <v>0</v>
      </c>
      <c r="I1124" s="80"/>
      <c r="J1124" s="81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</row>
    <row r="1125" spans="1:21" s="63" customFormat="1" ht="159.75" customHeight="1" hidden="1">
      <c r="A1125" s="161" t="s">
        <v>2015</v>
      </c>
      <c r="B1125" s="15" t="s">
        <v>1650</v>
      </c>
      <c r="C1125" s="15" t="s">
        <v>1653</v>
      </c>
      <c r="D1125" s="15" t="s">
        <v>178</v>
      </c>
      <c r="E1125" s="15" t="s">
        <v>575</v>
      </c>
      <c r="F1125" s="17">
        <f>F1126</f>
        <v>0</v>
      </c>
      <c r="G1125" s="17">
        <f t="shared" si="52"/>
        <v>0</v>
      </c>
      <c r="H1125" s="17">
        <f>H1126</f>
        <v>0</v>
      </c>
      <c r="I1125" s="80"/>
      <c r="J1125" s="81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</row>
    <row r="1126" spans="1:21" s="63" customFormat="1" ht="24.75" hidden="1">
      <c r="A1126" s="35" t="s">
        <v>166</v>
      </c>
      <c r="B1126" s="15" t="s">
        <v>1650</v>
      </c>
      <c r="C1126" s="15" t="s">
        <v>1653</v>
      </c>
      <c r="D1126" s="15" t="s">
        <v>178</v>
      </c>
      <c r="E1126" s="15" t="s">
        <v>167</v>
      </c>
      <c r="F1126" s="18"/>
      <c r="G1126" s="18">
        <f t="shared" si="52"/>
        <v>0</v>
      </c>
      <c r="H1126" s="28"/>
      <c r="I1126" s="80"/>
      <c r="J1126" s="81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</row>
    <row r="1127" spans="1:21" s="63" customFormat="1" ht="15.75" hidden="1">
      <c r="A1127" s="35"/>
      <c r="B1127" s="15"/>
      <c r="C1127" s="15"/>
      <c r="D1127" s="15"/>
      <c r="E1127" s="15"/>
      <c r="F1127" s="18">
        <v>0</v>
      </c>
      <c r="G1127" s="18">
        <f>F1127-H1127</f>
        <v>0</v>
      </c>
      <c r="H1127" s="28"/>
      <c r="I1127" s="80"/>
      <c r="J1127" s="81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</row>
    <row r="1128" spans="1:21" s="63" customFormat="1" ht="84" hidden="1">
      <c r="A1128" s="35" t="s">
        <v>512</v>
      </c>
      <c r="B1128" s="15" t="s">
        <v>1650</v>
      </c>
      <c r="C1128" s="15" t="s">
        <v>1653</v>
      </c>
      <c r="D1128" s="15" t="s">
        <v>178</v>
      </c>
      <c r="E1128" s="15"/>
      <c r="F1128" s="17">
        <f>F1129</f>
        <v>0</v>
      </c>
      <c r="G1128" s="18"/>
      <c r="H1128" s="17">
        <f>H1129</f>
        <v>0</v>
      </c>
      <c r="I1128" s="80"/>
      <c r="J1128" s="81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</row>
    <row r="1129" spans="1:21" s="63" customFormat="1" ht="24.75" hidden="1">
      <c r="A1129" s="35" t="s">
        <v>166</v>
      </c>
      <c r="B1129" s="15" t="s">
        <v>1650</v>
      </c>
      <c r="C1129" s="15" t="s">
        <v>1653</v>
      </c>
      <c r="D1129" s="15" t="s">
        <v>178</v>
      </c>
      <c r="E1129" s="15" t="s">
        <v>738</v>
      </c>
      <c r="F1129" s="18"/>
      <c r="G1129" s="18"/>
      <c r="H1129" s="38"/>
      <c r="I1129" s="80"/>
      <c r="J1129" s="81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</row>
    <row r="1130" spans="1:21" s="63" customFormat="1" ht="72" hidden="1">
      <c r="A1130" s="35" t="s">
        <v>351</v>
      </c>
      <c r="B1130" s="15" t="s">
        <v>1650</v>
      </c>
      <c r="C1130" s="15" t="s">
        <v>1653</v>
      </c>
      <c r="D1130" s="15" t="s">
        <v>178</v>
      </c>
      <c r="E1130" s="15" t="s">
        <v>575</v>
      </c>
      <c r="F1130" s="17">
        <f>F1131</f>
        <v>0</v>
      </c>
      <c r="G1130" s="18"/>
      <c r="H1130" s="17">
        <f>H1131</f>
        <v>0</v>
      </c>
      <c r="I1130" s="80"/>
      <c r="J1130" s="81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</row>
    <row r="1131" spans="1:21" s="63" customFormat="1" ht="18.75" customHeight="1" hidden="1">
      <c r="A1131" s="35" t="s">
        <v>166</v>
      </c>
      <c r="B1131" s="15" t="s">
        <v>1650</v>
      </c>
      <c r="C1131" s="15" t="s">
        <v>1653</v>
      </c>
      <c r="D1131" s="15" t="s">
        <v>178</v>
      </c>
      <c r="E1131" s="15" t="s">
        <v>738</v>
      </c>
      <c r="F1131" s="18"/>
      <c r="G1131" s="18"/>
      <c r="H1131" s="38"/>
      <c r="I1131" s="80"/>
      <c r="J1131" s="81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</row>
    <row r="1132" spans="1:21" s="63" customFormat="1" ht="72" hidden="1">
      <c r="A1132" s="35" t="s">
        <v>193</v>
      </c>
      <c r="B1132" s="15" t="s">
        <v>1650</v>
      </c>
      <c r="C1132" s="15" t="s">
        <v>1653</v>
      </c>
      <c r="D1132" s="15" t="s">
        <v>704</v>
      </c>
      <c r="E1132" s="15" t="s">
        <v>575</v>
      </c>
      <c r="F1132" s="17">
        <f>F1133</f>
        <v>0</v>
      </c>
      <c r="G1132" s="17">
        <f t="shared" si="52"/>
        <v>0</v>
      </c>
      <c r="H1132" s="17">
        <f>H1133</f>
        <v>0</v>
      </c>
      <c r="I1132" s="80"/>
      <c r="J1132" s="81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</row>
    <row r="1133" spans="1:21" s="63" customFormat="1" ht="24.75" hidden="1">
      <c r="A1133" s="35" t="s">
        <v>166</v>
      </c>
      <c r="B1133" s="15" t="s">
        <v>1650</v>
      </c>
      <c r="C1133" s="15" t="s">
        <v>1653</v>
      </c>
      <c r="D1133" s="15" t="s">
        <v>704</v>
      </c>
      <c r="E1133" s="15" t="s">
        <v>738</v>
      </c>
      <c r="F1133" s="18"/>
      <c r="G1133" s="18">
        <f t="shared" si="52"/>
        <v>0</v>
      </c>
      <c r="H1133" s="53"/>
      <c r="I1133" s="80"/>
      <c r="J1133" s="81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</row>
    <row r="1134" spans="1:21" s="63" customFormat="1" ht="60" hidden="1">
      <c r="A1134" s="35" t="s">
        <v>758</v>
      </c>
      <c r="B1134" s="15" t="s">
        <v>1650</v>
      </c>
      <c r="C1134" s="15" t="s">
        <v>1653</v>
      </c>
      <c r="D1134" s="15" t="s">
        <v>562</v>
      </c>
      <c r="E1134" s="15" t="s">
        <v>575</v>
      </c>
      <c r="F1134" s="17">
        <f>F1135</f>
        <v>0</v>
      </c>
      <c r="G1134" s="17">
        <f t="shared" si="52"/>
        <v>0</v>
      </c>
      <c r="H1134" s="17">
        <f>H1135</f>
        <v>0</v>
      </c>
      <c r="I1134" s="80"/>
      <c r="J1134" s="81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</row>
    <row r="1135" spans="1:21" s="63" customFormat="1" ht="24.75" hidden="1">
      <c r="A1135" s="35" t="s">
        <v>166</v>
      </c>
      <c r="B1135" s="15" t="s">
        <v>1650</v>
      </c>
      <c r="C1135" s="15" t="s">
        <v>1653</v>
      </c>
      <c r="D1135" s="15" t="s">
        <v>562</v>
      </c>
      <c r="E1135" s="15" t="s">
        <v>167</v>
      </c>
      <c r="F1135" s="18">
        <v>0</v>
      </c>
      <c r="G1135" s="18">
        <f t="shared" si="52"/>
        <v>0</v>
      </c>
      <c r="H1135" s="38">
        <v>0</v>
      </c>
      <c r="I1135" s="80"/>
      <c r="J1135" s="81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</row>
    <row r="1136" spans="1:8" ht="31.5" customHeight="1" hidden="1">
      <c r="A1136" s="16" t="s">
        <v>266</v>
      </c>
      <c r="B1136" s="15" t="s">
        <v>1650</v>
      </c>
      <c r="C1136" s="15" t="s">
        <v>1653</v>
      </c>
      <c r="D1136" s="15" t="s">
        <v>563</v>
      </c>
      <c r="E1136" s="15" t="s">
        <v>575</v>
      </c>
      <c r="F1136" s="17">
        <f>F1137+F1138+F1140</f>
        <v>0</v>
      </c>
      <c r="G1136" s="17">
        <f t="shared" si="52"/>
        <v>0</v>
      </c>
      <c r="H1136" s="17">
        <f>H1137+H1138+H1140</f>
        <v>0</v>
      </c>
    </row>
    <row r="1137" spans="1:21" s="66" customFormat="1" ht="36.75" customHeight="1" hidden="1">
      <c r="A1137" s="16" t="s">
        <v>843</v>
      </c>
      <c r="B1137" s="15" t="s">
        <v>1650</v>
      </c>
      <c r="C1137" s="15" t="s">
        <v>1653</v>
      </c>
      <c r="D1137" s="15" t="s">
        <v>563</v>
      </c>
      <c r="E1137" s="15" t="s">
        <v>844</v>
      </c>
      <c r="F1137" s="18"/>
      <c r="G1137" s="17">
        <f t="shared" si="52"/>
        <v>0</v>
      </c>
      <c r="H1137" s="18"/>
      <c r="I1137" s="83"/>
      <c r="J1137" s="84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</row>
    <row r="1138" spans="1:21" s="66" customFormat="1" ht="87" customHeight="1" hidden="1">
      <c r="A1138" s="16" t="s">
        <v>1030</v>
      </c>
      <c r="B1138" s="15" t="s">
        <v>1650</v>
      </c>
      <c r="C1138" s="15" t="s">
        <v>1653</v>
      </c>
      <c r="D1138" s="15" t="s">
        <v>1550</v>
      </c>
      <c r="E1138" s="15" t="s">
        <v>575</v>
      </c>
      <c r="F1138" s="17">
        <f>F1139+F1146</f>
        <v>0</v>
      </c>
      <c r="G1138" s="17">
        <f>G1139+G1146</f>
        <v>0</v>
      </c>
      <c r="H1138" s="17">
        <f>H1139+H1146</f>
        <v>0</v>
      </c>
      <c r="I1138" s="83"/>
      <c r="J1138" s="84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</row>
    <row r="1139" spans="1:21" s="66" customFormat="1" ht="18.75" customHeight="1" hidden="1">
      <c r="A1139" s="16" t="s">
        <v>997</v>
      </c>
      <c r="B1139" s="15" t="s">
        <v>1650</v>
      </c>
      <c r="C1139" s="15" t="s">
        <v>1653</v>
      </c>
      <c r="D1139" s="15" t="s">
        <v>1550</v>
      </c>
      <c r="E1139" s="15" t="s">
        <v>105</v>
      </c>
      <c r="F1139" s="18">
        <v>0</v>
      </c>
      <c r="G1139" s="17">
        <f t="shared" si="52"/>
        <v>0</v>
      </c>
      <c r="H1139" s="38"/>
      <c r="I1139" s="83"/>
      <c r="J1139" s="84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</row>
    <row r="1140" spans="1:21" s="66" customFormat="1" ht="36" hidden="1">
      <c r="A1140" s="16" t="s">
        <v>1127</v>
      </c>
      <c r="B1140" s="15" t="s">
        <v>1650</v>
      </c>
      <c r="C1140" s="15" t="s">
        <v>1653</v>
      </c>
      <c r="D1140" s="15" t="s">
        <v>1103</v>
      </c>
      <c r="E1140" s="15" t="s">
        <v>575</v>
      </c>
      <c r="F1140" s="17">
        <f>F1141</f>
        <v>0</v>
      </c>
      <c r="G1140" s="17">
        <f t="shared" si="52"/>
        <v>0</v>
      </c>
      <c r="H1140" s="38"/>
      <c r="I1140" s="83"/>
      <c r="J1140" s="84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</row>
    <row r="1141" spans="1:21" s="66" customFormat="1" ht="24.75" hidden="1">
      <c r="A1141" s="16" t="s">
        <v>997</v>
      </c>
      <c r="B1141" s="15" t="s">
        <v>1650</v>
      </c>
      <c r="C1141" s="15" t="s">
        <v>1653</v>
      </c>
      <c r="D1141" s="15" t="s">
        <v>1103</v>
      </c>
      <c r="E1141" s="15" t="s">
        <v>105</v>
      </c>
      <c r="F1141" s="18">
        <v>0</v>
      </c>
      <c r="G1141" s="17">
        <f t="shared" si="52"/>
        <v>0</v>
      </c>
      <c r="H1141" s="38"/>
      <c r="I1141" s="83"/>
      <c r="J1141" s="84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</row>
    <row r="1142" spans="1:21" s="66" customFormat="1" ht="96" hidden="1">
      <c r="A1142" s="16" t="s">
        <v>501</v>
      </c>
      <c r="B1142" s="15" t="s">
        <v>1650</v>
      </c>
      <c r="C1142" s="15" t="s">
        <v>1653</v>
      </c>
      <c r="D1142" s="15" t="s">
        <v>488</v>
      </c>
      <c r="E1142" s="15"/>
      <c r="F1142" s="17">
        <f>F1143</f>
        <v>0</v>
      </c>
      <c r="G1142" s="17">
        <f t="shared" si="52"/>
        <v>0</v>
      </c>
      <c r="H1142" s="38"/>
      <c r="I1142" s="83"/>
      <c r="J1142" s="84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  <c r="U1142" s="83"/>
    </row>
    <row r="1143" spans="1:21" s="66" customFormat="1" ht="24.75" hidden="1">
      <c r="A1143" s="16" t="s">
        <v>997</v>
      </c>
      <c r="B1143" s="15" t="s">
        <v>1650</v>
      </c>
      <c r="C1143" s="15" t="s">
        <v>1653</v>
      </c>
      <c r="D1143" s="15" t="s">
        <v>488</v>
      </c>
      <c r="E1143" s="15" t="s">
        <v>105</v>
      </c>
      <c r="F1143" s="18">
        <v>0</v>
      </c>
      <c r="G1143" s="17">
        <f t="shared" si="52"/>
        <v>0</v>
      </c>
      <c r="H1143" s="38"/>
      <c r="I1143" s="83"/>
      <c r="J1143" s="84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  <c r="U1143" s="83"/>
    </row>
    <row r="1144" spans="1:8" ht="36" hidden="1">
      <c r="A1144" s="16" t="s">
        <v>1658</v>
      </c>
      <c r="B1144" s="15" t="s">
        <v>1650</v>
      </c>
      <c r="C1144" s="15" t="s">
        <v>1653</v>
      </c>
      <c r="D1144" s="15" t="s">
        <v>564</v>
      </c>
      <c r="E1144" s="15"/>
      <c r="F1144" s="17">
        <f>F1145</f>
        <v>0</v>
      </c>
      <c r="G1144" s="17">
        <f t="shared" si="52"/>
        <v>0</v>
      </c>
      <c r="H1144" s="38"/>
    </row>
    <row r="1145" spans="1:8" ht="24.75" hidden="1">
      <c r="A1145" s="16" t="s">
        <v>997</v>
      </c>
      <c r="B1145" s="15" t="s">
        <v>1650</v>
      </c>
      <c r="C1145" s="15" t="s">
        <v>1653</v>
      </c>
      <c r="D1145" s="15" t="s">
        <v>564</v>
      </c>
      <c r="E1145" s="15" t="s">
        <v>105</v>
      </c>
      <c r="F1145" s="18">
        <v>0</v>
      </c>
      <c r="G1145" s="17">
        <f t="shared" si="52"/>
        <v>0</v>
      </c>
      <c r="H1145" s="38"/>
    </row>
    <row r="1146" spans="1:8" ht="24.75" hidden="1">
      <c r="A1146" s="35" t="s">
        <v>842</v>
      </c>
      <c r="B1146" s="15" t="s">
        <v>1650</v>
      </c>
      <c r="C1146" s="15" t="s">
        <v>1653</v>
      </c>
      <c r="D1146" s="15" t="s">
        <v>1550</v>
      </c>
      <c r="E1146" s="15" t="s">
        <v>471</v>
      </c>
      <c r="F1146" s="18"/>
      <c r="G1146" s="17">
        <f t="shared" si="52"/>
        <v>0</v>
      </c>
      <c r="H1146" s="38"/>
    </row>
    <row r="1147" spans="1:8" ht="84" customHeight="1">
      <c r="A1147" s="35" t="s">
        <v>485</v>
      </c>
      <c r="B1147" s="15" t="s">
        <v>1650</v>
      </c>
      <c r="C1147" s="15" t="s">
        <v>1653</v>
      </c>
      <c r="D1147" s="15" t="s">
        <v>1958</v>
      </c>
      <c r="E1147" s="15"/>
      <c r="F1147" s="17">
        <f>F1148+F1150</f>
        <v>12310.2</v>
      </c>
      <c r="G1147" s="17">
        <f t="shared" si="52"/>
        <v>0</v>
      </c>
      <c r="H1147" s="17">
        <f>H1148+H1150</f>
        <v>12310.2</v>
      </c>
    </row>
    <row r="1148" spans="1:8" ht="76.5" customHeight="1">
      <c r="A1148" s="35" t="s">
        <v>486</v>
      </c>
      <c r="B1148" s="15" t="s">
        <v>1650</v>
      </c>
      <c r="C1148" s="15" t="s">
        <v>1653</v>
      </c>
      <c r="D1148" s="15" t="s">
        <v>178</v>
      </c>
      <c r="E1148" s="15" t="s">
        <v>575</v>
      </c>
      <c r="F1148" s="17">
        <f>F1149</f>
        <v>1758.6</v>
      </c>
      <c r="G1148" s="17">
        <f t="shared" si="52"/>
        <v>0</v>
      </c>
      <c r="H1148" s="17">
        <f>H1149</f>
        <v>1758.6</v>
      </c>
    </row>
    <row r="1149" spans="1:8" ht="36">
      <c r="A1149" s="16" t="s">
        <v>843</v>
      </c>
      <c r="B1149" s="15" t="s">
        <v>1650</v>
      </c>
      <c r="C1149" s="15" t="s">
        <v>1653</v>
      </c>
      <c r="D1149" s="15" t="s">
        <v>178</v>
      </c>
      <c r="E1149" s="15" t="s">
        <v>844</v>
      </c>
      <c r="F1149" s="18">
        <v>1758.6</v>
      </c>
      <c r="G1149" s="17">
        <f t="shared" si="52"/>
        <v>0</v>
      </c>
      <c r="H1149" s="18">
        <v>1758.6</v>
      </c>
    </row>
    <row r="1150" spans="1:8" ht="73.5" customHeight="1">
      <c r="A1150" s="16" t="s">
        <v>1282</v>
      </c>
      <c r="B1150" s="15" t="s">
        <v>1650</v>
      </c>
      <c r="C1150" s="15" t="s">
        <v>1653</v>
      </c>
      <c r="D1150" s="15" t="s">
        <v>704</v>
      </c>
      <c r="E1150" s="15" t="s">
        <v>575</v>
      </c>
      <c r="F1150" s="17">
        <f>F1151</f>
        <v>10551.6</v>
      </c>
      <c r="G1150" s="17">
        <f t="shared" si="52"/>
        <v>0</v>
      </c>
      <c r="H1150" s="17">
        <f>H1151</f>
        <v>10551.6</v>
      </c>
    </row>
    <row r="1151" spans="1:8" ht="36">
      <c r="A1151" s="16" t="s">
        <v>843</v>
      </c>
      <c r="B1151" s="15" t="s">
        <v>1650</v>
      </c>
      <c r="C1151" s="15" t="s">
        <v>1653</v>
      </c>
      <c r="D1151" s="15" t="s">
        <v>704</v>
      </c>
      <c r="E1151" s="15" t="s">
        <v>844</v>
      </c>
      <c r="F1151" s="18">
        <v>10551.6</v>
      </c>
      <c r="G1151" s="17">
        <f t="shared" si="52"/>
        <v>0</v>
      </c>
      <c r="H1151" s="18">
        <v>10551.6</v>
      </c>
    </row>
    <row r="1152" spans="1:8" ht="24">
      <c r="A1152" s="16" t="s">
        <v>565</v>
      </c>
      <c r="B1152" s="15" t="s">
        <v>1650</v>
      </c>
      <c r="C1152" s="15" t="s">
        <v>1653</v>
      </c>
      <c r="D1152" s="15" t="s">
        <v>566</v>
      </c>
      <c r="E1152" s="15" t="s">
        <v>575</v>
      </c>
      <c r="F1152" s="17">
        <f>F1153</f>
        <v>1835.1</v>
      </c>
      <c r="G1152" s="17">
        <f t="shared" si="52"/>
        <v>1835.1</v>
      </c>
      <c r="H1152" s="38"/>
    </row>
    <row r="1153" spans="1:8" ht="24">
      <c r="A1153" s="35" t="s">
        <v>842</v>
      </c>
      <c r="B1153" s="15" t="s">
        <v>1650</v>
      </c>
      <c r="C1153" s="15" t="s">
        <v>1653</v>
      </c>
      <c r="D1153" s="15" t="s">
        <v>566</v>
      </c>
      <c r="E1153" s="15" t="s">
        <v>471</v>
      </c>
      <c r="F1153" s="17">
        <f>F1154</f>
        <v>1835.1</v>
      </c>
      <c r="G1153" s="17">
        <f t="shared" si="52"/>
        <v>1835.1</v>
      </c>
      <c r="H1153" s="38"/>
    </row>
    <row r="1154" spans="1:8" ht="36">
      <c r="A1154" s="16" t="s">
        <v>1552</v>
      </c>
      <c r="B1154" s="15" t="s">
        <v>1650</v>
      </c>
      <c r="C1154" s="15" t="s">
        <v>1653</v>
      </c>
      <c r="D1154" s="15" t="s">
        <v>566</v>
      </c>
      <c r="E1154" s="15" t="s">
        <v>1553</v>
      </c>
      <c r="F1154" s="18">
        <v>1835.1</v>
      </c>
      <c r="G1154" s="17">
        <f t="shared" si="52"/>
        <v>1835.1</v>
      </c>
      <c r="H1154" s="38"/>
    </row>
    <row r="1155" spans="1:8" ht="120">
      <c r="A1155" s="16" t="s">
        <v>1533</v>
      </c>
      <c r="B1155" s="15" t="s">
        <v>1650</v>
      </c>
      <c r="C1155" s="15" t="s">
        <v>1653</v>
      </c>
      <c r="D1155" s="15" t="s">
        <v>567</v>
      </c>
      <c r="E1155" s="15" t="s">
        <v>575</v>
      </c>
      <c r="F1155" s="17">
        <f>F1156</f>
        <v>2425</v>
      </c>
      <c r="G1155" s="17">
        <f t="shared" si="52"/>
        <v>2425</v>
      </c>
      <c r="H1155" s="38"/>
    </row>
    <row r="1156" spans="1:8" ht="24">
      <c r="A1156" s="35" t="s">
        <v>842</v>
      </c>
      <c r="B1156" s="15" t="s">
        <v>1650</v>
      </c>
      <c r="C1156" s="15" t="s">
        <v>1653</v>
      </c>
      <c r="D1156" s="15" t="s">
        <v>567</v>
      </c>
      <c r="E1156" s="15" t="s">
        <v>471</v>
      </c>
      <c r="F1156" s="17">
        <f>F1157</f>
        <v>2425</v>
      </c>
      <c r="G1156" s="17">
        <f t="shared" si="52"/>
        <v>2425</v>
      </c>
      <c r="H1156" s="38"/>
    </row>
    <row r="1157" spans="1:8" ht="36">
      <c r="A1157" s="16" t="s">
        <v>1552</v>
      </c>
      <c r="B1157" s="15" t="s">
        <v>1650</v>
      </c>
      <c r="C1157" s="15" t="s">
        <v>1653</v>
      </c>
      <c r="D1157" s="15" t="s">
        <v>567</v>
      </c>
      <c r="E1157" s="15" t="s">
        <v>1553</v>
      </c>
      <c r="F1157" s="18">
        <v>2425</v>
      </c>
      <c r="G1157" s="17">
        <f t="shared" si="52"/>
        <v>2425</v>
      </c>
      <c r="H1157" s="38"/>
    </row>
    <row r="1158" spans="1:8" ht="60">
      <c r="A1158" s="16" t="s">
        <v>878</v>
      </c>
      <c r="B1158" s="15" t="s">
        <v>1650</v>
      </c>
      <c r="C1158" s="15" t="s">
        <v>1653</v>
      </c>
      <c r="D1158" s="15" t="s">
        <v>568</v>
      </c>
      <c r="E1158" s="15" t="s">
        <v>575</v>
      </c>
      <c r="F1158" s="17">
        <f>F1159</f>
        <v>360</v>
      </c>
      <c r="G1158" s="17">
        <f t="shared" si="52"/>
        <v>360</v>
      </c>
      <c r="H1158" s="38"/>
    </row>
    <row r="1159" spans="1:8" ht="24">
      <c r="A1159" s="35" t="s">
        <v>842</v>
      </c>
      <c r="B1159" s="15" t="s">
        <v>1650</v>
      </c>
      <c r="C1159" s="15" t="s">
        <v>1653</v>
      </c>
      <c r="D1159" s="15" t="s">
        <v>568</v>
      </c>
      <c r="E1159" s="15" t="s">
        <v>471</v>
      </c>
      <c r="F1159" s="17">
        <f>F1160</f>
        <v>360</v>
      </c>
      <c r="G1159" s="17">
        <f t="shared" si="52"/>
        <v>360</v>
      </c>
      <c r="H1159" s="38"/>
    </row>
    <row r="1160" spans="1:8" ht="36">
      <c r="A1160" s="16" t="s">
        <v>1552</v>
      </c>
      <c r="B1160" s="15" t="s">
        <v>1650</v>
      </c>
      <c r="C1160" s="15" t="s">
        <v>1653</v>
      </c>
      <c r="D1160" s="15" t="s">
        <v>568</v>
      </c>
      <c r="E1160" s="15" t="s">
        <v>1553</v>
      </c>
      <c r="F1160" s="18">
        <v>360</v>
      </c>
      <c r="G1160" s="17">
        <f t="shared" si="52"/>
        <v>360</v>
      </c>
      <c r="H1160" s="38"/>
    </row>
    <row r="1161" spans="1:8" ht="36">
      <c r="A1161" s="16" t="s">
        <v>907</v>
      </c>
      <c r="B1161" s="15" t="s">
        <v>1650</v>
      </c>
      <c r="C1161" s="15" t="s">
        <v>1653</v>
      </c>
      <c r="D1161" s="15" t="s">
        <v>908</v>
      </c>
      <c r="E1161" s="15" t="s">
        <v>575</v>
      </c>
      <c r="F1161" s="17">
        <f>F1162</f>
        <v>361.1</v>
      </c>
      <c r="G1161" s="17">
        <f t="shared" si="52"/>
        <v>361.1</v>
      </c>
      <c r="H1161" s="38"/>
    </row>
    <row r="1162" spans="1:8" ht="24">
      <c r="A1162" s="35" t="s">
        <v>842</v>
      </c>
      <c r="B1162" s="15" t="s">
        <v>1650</v>
      </c>
      <c r="C1162" s="15" t="s">
        <v>1653</v>
      </c>
      <c r="D1162" s="15" t="s">
        <v>908</v>
      </c>
      <c r="E1162" s="15" t="s">
        <v>471</v>
      </c>
      <c r="F1162" s="17">
        <f>F1163</f>
        <v>361.1</v>
      </c>
      <c r="G1162" s="17">
        <f t="shared" si="52"/>
        <v>361.1</v>
      </c>
      <c r="H1162" s="38"/>
    </row>
    <row r="1163" spans="1:8" ht="36">
      <c r="A1163" s="16" t="s">
        <v>1552</v>
      </c>
      <c r="B1163" s="15" t="s">
        <v>1650</v>
      </c>
      <c r="C1163" s="15" t="s">
        <v>1653</v>
      </c>
      <c r="D1163" s="15" t="s">
        <v>908</v>
      </c>
      <c r="E1163" s="15" t="s">
        <v>1553</v>
      </c>
      <c r="F1163" s="18">
        <v>361.1</v>
      </c>
      <c r="G1163" s="17">
        <f t="shared" si="52"/>
        <v>361.1</v>
      </c>
      <c r="H1163" s="38"/>
    </row>
    <row r="1164" spans="1:8" ht="36">
      <c r="A1164" s="16" t="s">
        <v>657</v>
      </c>
      <c r="B1164" s="15" t="s">
        <v>1650</v>
      </c>
      <c r="C1164" s="15" t="s">
        <v>1653</v>
      </c>
      <c r="D1164" s="15" t="s">
        <v>658</v>
      </c>
      <c r="E1164" s="15" t="s">
        <v>575</v>
      </c>
      <c r="F1164" s="17">
        <f>F1165</f>
        <v>188.6</v>
      </c>
      <c r="G1164" s="17">
        <f t="shared" si="52"/>
        <v>188.6</v>
      </c>
      <c r="H1164" s="38"/>
    </row>
    <row r="1165" spans="1:8" ht="24">
      <c r="A1165" s="35" t="s">
        <v>842</v>
      </c>
      <c r="B1165" s="15" t="s">
        <v>1650</v>
      </c>
      <c r="C1165" s="15" t="s">
        <v>1653</v>
      </c>
      <c r="D1165" s="15" t="s">
        <v>658</v>
      </c>
      <c r="E1165" s="15" t="s">
        <v>471</v>
      </c>
      <c r="F1165" s="17">
        <f>F1166</f>
        <v>188.6</v>
      </c>
      <c r="G1165" s="17">
        <f t="shared" si="52"/>
        <v>188.6</v>
      </c>
      <c r="H1165" s="38"/>
    </row>
    <row r="1166" spans="1:8" ht="36">
      <c r="A1166" s="16" t="s">
        <v>1552</v>
      </c>
      <c r="B1166" s="15" t="s">
        <v>1650</v>
      </c>
      <c r="C1166" s="15" t="s">
        <v>1653</v>
      </c>
      <c r="D1166" s="15" t="s">
        <v>658</v>
      </c>
      <c r="E1166" s="15" t="s">
        <v>1553</v>
      </c>
      <c r="F1166" s="18">
        <f>193.5-1.9-3</f>
        <v>188.6</v>
      </c>
      <c r="G1166" s="17">
        <f t="shared" si="52"/>
        <v>188.6</v>
      </c>
      <c r="H1166" s="38"/>
    </row>
    <row r="1167" spans="1:8" ht="36">
      <c r="A1167" s="16" t="s">
        <v>24</v>
      </c>
      <c r="B1167" s="15" t="s">
        <v>1650</v>
      </c>
      <c r="C1167" s="15" t="s">
        <v>1653</v>
      </c>
      <c r="D1167" s="15" t="s">
        <v>25</v>
      </c>
      <c r="E1167" s="15" t="s">
        <v>575</v>
      </c>
      <c r="F1167" s="17">
        <f>F1168</f>
        <v>357.7</v>
      </c>
      <c r="G1167" s="17">
        <f t="shared" si="52"/>
        <v>357.7</v>
      </c>
      <c r="H1167" s="38"/>
    </row>
    <row r="1168" spans="1:8" ht="24">
      <c r="A1168" s="35" t="s">
        <v>842</v>
      </c>
      <c r="B1168" s="15" t="s">
        <v>1650</v>
      </c>
      <c r="C1168" s="15" t="s">
        <v>1653</v>
      </c>
      <c r="D1168" s="15" t="s">
        <v>25</v>
      </c>
      <c r="E1168" s="15" t="s">
        <v>471</v>
      </c>
      <c r="F1168" s="17">
        <f>F1169</f>
        <v>357.7</v>
      </c>
      <c r="G1168" s="17">
        <f t="shared" si="52"/>
        <v>357.7</v>
      </c>
      <c r="H1168" s="38"/>
    </row>
    <row r="1169" spans="1:8" ht="36">
      <c r="A1169" s="16" t="s">
        <v>1552</v>
      </c>
      <c r="B1169" s="15" t="s">
        <v>1650</v>
      </c>
      <c r="C1169" s="15" t="s">
        <v>1653</v>
      </c>
      <c r="D1169" s="15" t="s">
        <v>25</v>
      </c>
      <c r="E1169" s="15" t="s">
        <v>1553</v>
      </c>
      <c r="F1169" s="18">
        <v>357.7</v>
      </c>
      <c r="G1169" s="17">
        <f t="shared" si="52"/>
        <v>357.7</v>
      </c>
      <c r="H1169" s="38"/>
    </row>
    <row r="1170" spans="1:8" ht="36">
      <c r="A1170" s="16" t="s">
        <v>1973</v>
      </c>
      <c r="B1170" s="15" t="s">
        <v>1650</v>
      </c>
      <c r="C1170" s="15" t="s">
        <v>1653</v>
      </c>
      <c r="D1170" s="15" t="s">
        <v>1974</v>
      </c>
      <c r="E1170" s="15" t="s">
        <v>575</v>
      </c>
      <c r="F1170" s="17">
        <f>F1171</f>
        <v>38.4</v>
      </c>
      <c r="G1170" s="17">
        <f t="shared" si="52"/>
        <v>38.4</v>
      </c>
      <c r="H1170" s="38"/>
    </row>
    <row r="1171" spans="1:8" ht="24">
      <c r="A1171" s="35" t="s">
        <v>842</v>
      </c>
      <c r="B1171" s="15" t="s">
        <v>1650</v>
      </c>
      <c r="C1171" s="15" t="s">
        <v>1653</v>
      </c>
      <c r="D1171" s="15" t="s">
        <v>1974</v>
      </c>
      <c r="E1171" s="15" t="s">
        <v>471</v>
      </c>
      <c r="F1171" s="17">
        <f>F1172</f>
        <v>38.4</v>
      </c>
      <c r="G1171" s="17">
        <f t="shared" si="52"/>
        <v>38.4</v>
      </c>
      <c r="H1171" s="38"/>
    </row>
    <row r="1172" spans="1:8" ht="36">
      <c r="A1172" s="16" t="s">
        <v>1552</v>
      </c>
      <c r="B1172" s="15" t="s">
        <v>1650</v>
      </c>
      <c r="C1172" s="15" t="s">
        <v>1653</v>
      </c>
      <c r="D1172" s="15" t="s">
        <v>1974</v>
      </c>
      <c r="E1172" s="15" t="s">
        <v>1553</v>
      </c>
      <c r="F1172" s="18">
        <v>38.4</v>
      </c>
      <c r="G1172" s="17">
        <f t="shared" si="52"/>
        <v>38.4</v>
      </c>
      <c r="H1172" s="38"/>
    </row>
    <row r="1173" spans="1:8" ht="36">
      <c r="A1173" s="16" t="s">
        <v>496</v>
      </c>
      <c r="B1173" s="15" t="s">
        <v>1650</v>
      </c>
      <c r="C1173" s="15" t="s">
        <v>1653</v>
      </c>
      <c r="D1173" s="15" t="s">
        <v>497</v>
      </c>
      <c r="E1173" s="15" t="s">
        <v>575</v>
      </c>
      <c r="F1173" s="17">
        <f>F1174</f>
        <v>38.4</v>
      </c>
      <c r="G1173" s="17">
        <f t="shared" si="52"/>
        <v>38.4</v>
      </c>
      <c r="H1173" s="38"/>
    </row>
    <row r="1174" spans="1:8" ht="24">
      <c r="A1174" s="35" t="s">
        <v>842</v>
      </c>
      <c r="B1174" s="15" t="s">
        <v>1650</v>
      </c>
      <c r="C1174" s="15" t="s">
        <v>1653</v>
      </c>
      <c r="D1174" s="15" t="s">
        <v>497</v>
      </c>
      <c r="E1174" s="15" t="s">
        <v>471</v>
      </c>
      <c r="F1174" s="17">
        <f>F1175</f>
        <v>38.4</v>
      </c>
      <c r="G1174" s="17">
        <f t="shared" si="52"/>
        <v>38.4</v>
      </c>
      <c r="H1174" s="38"/>
    </row>
    <row r="1175" spans="1:8" ht="36">
      <c r="A1175" s="16" t="s">
        <v>1552</v>
      </c>
      <c r="B1175" s="15" t="s">
        <v>1650</v>
      </c>
      <c r="C1175" s="15" t="s">
        <v>1653</v>
      </c>
      <c r="D1175" s="15" t="s">
        <v>497</v>
      </c>
      <c r="E1175" s="15" t="s">
        <v>1553</v>
      </c>
      <c r="F1175" s="18">
        <v>38.4</v>
      </c>
      <c r="G1175" s="17">
        <f t="shared" si="52"/>
        <v>38.4</v>
      </c>
      <c r="H1175" s="38"/>
    </row>
    <row r="1176" spans="1:8" ht="36">
      <c r="A1176" s="16" t="s">
        <v>1051</v>
      </c>
      <c r="B1176" s="15" t="s">
        <v>1650</v>
      </c>
      <c r="C1176" s="15" t="s">
        <v>1653</v>
      </c>
      <c r="D1176" s="15" t="s">
        <v>1052</v>
      </c>
      <c r="E1176" s="15" t="s">
        <v>575</v>
      </c>
      <c r="F1176" s="17">
        <f>F1177</f>
        <v>35.3</v>
      </c>
      <c r="G1176" s="17">
        <f t="shared" si="52"/>
        <v>35.3</v>
      </c>
      <c r="H1176" s="38"/>
    </row>
    <row r="1177" spans="1:8" ht="24">
      <c r="A1177" s="35" t="s">
        <v>842</v>
      </c>
      <c r="B1177" s="15" t="s">
        <v>1650</v>
      </c>
      <c r="C1177" s="15" t="s">
        <v>1653</v>
      </c>
      <c r="D1177" s="15" t="s">
        <v>1052</v>
      </c>
      <c r="E1177" s="15" t="s">
        <v>471</v>
      </c>
      <c r="F1177" s="17">
        <f>F1178</f>
        <v>35.3</v>
      </c>
      <c r="G1177" s="17">
        <f t="shared" si="52"/>
        <v>35.3</v>
      </c>
      <c r="H1177" s="38"/>
    </row>
    <row r="1178" spans="1:8" ht="36">
      <c r="A1178" s="16" t="s">
        <v>1552</v>
      </c>
      <c r="B1178" s="15" t="s">
        <v>1650</v>
      </c>
      <c r="C1178" s="15" t="s">
        <v>1653</v>
      </c>
      <c r="D1178" s="15" t="s">
        <v>1052</v>
      </c>
      <c r="E1178" s="15" t="s">
        <v>1553</v>
      </c>
      <c r="F1178" s="18">
        <v>35.3</v>
      </c>
      <c r="G1178" s="17">
        <f t="shared" si="52"/>
        <v>35.3</v>
      </c>
      <c r="H1178" s="38"/>
    </row>
    <row r="1179" spans="1:8" ht="36">
      <c r="A1179" s="16" t="s">
        <v>731</v>
      </c>
      <c r="B1179" s="15" t="s">
        <v>1650</v>
      </c>
      <c r="C1179" s="15" t="s">
        <v>1653</v>
      </c>
      <c r="D1179" s="15" t="s">
        <v>732</v>
      </c>
      <c r="E1179" s="15" t="s">
        <v>575</v>
      </c>
      <c r="F1179" s="17">
        <f>F1180</f>
        <v>20</v>
      </c>
      <c r="G1179" s="17">
        <f t="shared" si="52"/>
        <v>20</v>
      </c>
      <c r="H1179" s="38"/>
    </row>
    <row r="1180" spans="1:8" ht="24">
      <c r="A1180" s="35" t="s">
        <v>842</v>
      </c>
      <c r="B1180" s="15" t="s">
        <v>1650</v>
      </c>
      <c r="C1180" s="15" t="s">
        <v>1653</v>
      </c>
      <c r="D1180" s="15" t="s">
        <v>732</v>
      </c>
      <c r="E1180" s="15" t="s">
        <v>471</v>
      </c>
      <c r="F1180" s="17">
        <f>F1181</f>
        <v>20</v>
      </c>
      <c r="G1180" s="17">
        <f t="shared" si="52"/>
        <v>20</v>
      </c>
      <c r="H1180" s="38"/>
    </row>
    <row r="1181" spans="1:8" ht="36">
      <c r="A1181" s="16" t="s">
        <v>1552</v>
      </c>
      <c r="B1181" s="15" t="s">
        <v>1650</v>
      </c>
      <c r="C1181" s="15" t="s">
        <v>1653</v>
      </c>
      <c r="D1181" s="15" t="s">
        <v>732</v>
      </c>
      <c r="E1181" s="15" t="s">
        <v>1553</v>
      </c>
      <c r="F1181" s="18">
        <v>20</v>
      </c>
      <c r="G1181" s="17">
        <f t="shared" si="52"/>
        <v>20</v>
      </c>
      <c r="H1181" s="38"/>
    </row>
    <row r="1182" spans="1:8" ht="36">
      <c r="A1182" s="16" t="s">
        <v>91</v>
      </c>
      <c r="B1182" s="15" t="s">
        <v>1650</v>
      </c>
      <c r="C1182" s="15" t="s">
        <v>1653</v>
      </c>
      <c r="D1182" s="15" t="s">
        <v>92</v>
      </c>
      <c r="E1182" s="15" t="s">
        <v>575</v>
      </c>
      <c r="F1182" s="17">
        <f>F1183</f>
        <v>1820.6</v>
      </c>
      <c r="G1182" s="17">
        <f t="shared" si="52"/>
        <v>1820.6</v>
      </c>
      <c r="H1182" s="38"/>
    </row>
    <row r="1183" spans="1:8" ht="24">
      <c r="A1183" s="35" t="s">
        <v>842</v>
      </c>
      <c r="B1183" s="15" t="s">
        <v>1650</v>
      </c>
      <c r="C1183" s="15" t="s">
        <v>1653</v>
      </c>
      <c r="D1183" s="15" t="s">
        <v>92</v>
      </c>
      <c r="E1183" s="15" t="s">
        <v>471</v>
      </c>
      <c r="F1183" s="17">
        <f>F1184</f>
        <v>1820.6</v>
      </c>
      <c r="G1183" s="17">
        <f t="shared" si="52"/>
        <v>1820.6</v>
      </c>
      <c r="H1183" s="38"/>
    </row>
    <row r="1184" spans="1:8" ht="36">
      <c r="A1184" s="16" t="s">
        <v>1552</v>
      </c>
      <c r="B1184" s="15" t="s">
        <v>1650</v>
      </c>
      <c r="C1184" s="15" t="s">
        <v>1653</v>
      </c>
      <c r="D1184" s="15" t="s">
        <v>92</v>
      </c>
      <c r="E1184" s="15" t="s">
        <v>1553</v>
      </c>
      <c r="F1184" s="18">
        <f>1610.6+255-45</f>
        <v>1820.6</v>
      </c>
      <c r="G1184" s="17">
        <f t="shared" si="52"/>
        <v>1820.6</v>
      </c>
      <c r="H1184" s="38"/>
    </row>
    <row r="1185" spans="1:8" ht="48">
      <c r="A1185" s="16" t="s">
        <v>1904</v>
      </c>
      <c r="B1185" s="15" t="s">
        <v>1650</v>
      </c>
      <c r="C1185" s="15" t="s">
        <v>1653</v>
      </c>
      <c r="D1185" s="15" t="s">
        <v>93</v>
      </c>
      <c r="E1185" s="15" t="s">
        <v>575</v>
      </c>
      <c r="F1185" s="17">
        <f>F1186</f>
        <v>30.7</v>
      </c>
      <c r="G1185" s="17">
        <f t="shared" si="52"/>
        <v>30.7</v>
      </c>
      <c r="H1185" s="38"/>
    </row>
    <row r="1186" spans="1:8" ht="24">
      <c r="A1186" s="35" t="s">
        <v>842</v>
      </c>
      <c r="B1186" s="15" t="s">
        <v>1650</v>
      </c>
      <c r="C1186" s="15" t="s">
        <v>1653</v>
      </c>
      <c r="D1186" s="15" t="s">
        <v>93</v>
      </c>
      <c r="E1186" s="15" t="s">
        <v>471</v>
      </c>
      <c r="F1186" s="17">
        <f>F1187</f>
        <v>30.7</v>
      </c>
      <c r="G1186" s="17">
        <f t="shared" si="52"/>
        <v>30.7</v>
      </c>
      <c r="H1186" s="38"/>
    </row>
    <row r="1187" spans="1:8" ht="36">
      <c r="A1187" s="16" t="s">
        <v>1552</v>
      </c>
      <c r="B1187" s="15" t="s">
        <v>1650</v>
      </c>
      <c r="C1187" s="15" t="s">
        <v>1653</v>
      </c>
      <c r="D1187" s="15" t="s">
        <v>93</v>
      </c>
      <c r="E1187" s="15" t="s">
        <v>1553</v>
      </c>
      <c r="F1187" s="18">
        <v>30.7</v>
      </c>
      <c r="G1187" s="17">
        <f t="shared" si="52"/>
        <v>30.7</v>
      </c>
      <c r="H1187" s="38"/>
    </row>
    <row r="1188" spans="1:8" ht="36" hidden="1">
      <c r="A1188" s="16" t="s">
        <v>260</v>
      </c>
      <c r="B1188" s="15" t="s">
        <v>1650</v>
      </c>
      <c r="C1188" s="15" t="s">
        <v>1653</v>
      </c>
      <c r="D1188" s="15" t="s">
        <v>261</v>
      </c>
      <c r="E1188" s="15" t="s">
        <v>575</v>
      </c>
      <c r="F1188" s="17">
        <f>F1189</f>
        <v>0</v>
      </c>
      <c r="G1188" s="17">
        <f t="shared" si="52"/>
        <v>0</v>
      </c>
      <c r="H1188" s="38"/>
    </row>
    <row r="1189" spans="1:8" ht="24.75" hidden="1">
      <c r="A1189" s="35" t="s">
        <v>842</v>
      </c>
      <c r="B1189" s="15" t="s">
        <v>1650</v>
      </c>
      <c r="C1189" s="15" t="s">
        <v>1653</v>
      </c>
      <c r="D1189" s="15" t="s">
        <v>261</v>
      </c>
      <c r="E1189" s="15" t="s">
        <v>471</v>
      </c>
      <c r="F1189" s="17">
        <f>F1190</f>
        <v>0</v>
      </c>
      <c r="G1189" s="17">
        <f t="shared" si="52"/>
        <v>0</v>
      </c>
      <c r="H1189" s="38"/>
    </row>
    <row r="1190" spans="1:8" ht="24.75" hidden="1">
      <c r="A1190" s="16" t="s">
        <v>1552</v>
      </c>
      <c r="B1190" s="15" t="s">
        <v>1650</v>
      </c>
      <c r="C1190" s="15" t="s">
        <v>1653</v>
      </c>
      <c r="D1190" s="15" t="s">
        <v>261</v>
      </c>
      <c r="E1190" s="15" t="s">
        <v>1553</v>
      </c>
      <c r="F1190" s="18">
        <v>0</v>
      </c>
      <c r="G1190" s="17">
        <f t="shared" si="52"/>
        <v>0</v>
      </c>
      <c r="H1190" s="38"/>
    </row>
    <row r="1191" spans="1:8" ht="24">
      <c r="A1191" s="16" t="s">
        <v>262</v>
      </c>
      <c r="B1191" s="15" t="s">
        <v>1650</v>
      </c>
      <c r="C1191" s="15" t="s">
        <v>1653</v>
      </c>
      <c r="D1191" s="15" t="s">
        <v>263</v>
      </c>
      <c r="E1191" s="15" t="s">
        <v>575</v>
      </c>
      <c r="F1191" s="17">
        <f>F1192</f>
        <v>94</v>
      </c>
      <c r="G1191" s="17">
        <f>F1191-H1191</f>
        <v>94</v>
      </c>
      <c r="H1191" s="28"/>
    </row>
    <row r="1192" spans="1:8" ht="24">
      <c r="A1192" s="35" t="s">
        <v>842</v>
      </c>
      <c r="B1192" s="15" t="s">
        <v>1650</v>
      </c>
      <c r="C1192" s="15" t="s">
        <v>1653</v>
      </c>
      <c r="D1192" s="15" t="s">
        <v>263</v>
      </c>
      <c r="E1192" s="15" t="s">
        <v>471</v>
      </c>
      <c r="F1192" s="17">
        <f>F1193</f>
        <v>94</v>
      </c>
      <c r="G1192" s="17">
        <f>F1192-H1192</f>
        <v>94</v>
      </c>
      <c r="H1192" s="28"/>
    </row>
    <row r="1193" spans="1:8" ht="24.75" customHeight="1">
      <c r="A1193" s="16" t="s">
        <v>1552</v>
      </c>
      <c r="B1193" s="15" t="s">
        <v>1650</v>
      </c>
      <c r="C1193" s="15" t="s">
        <v>1653</v>
      </c>
      <c r="D1193" s="15" t="s">
        <v>263</v>
      </c>
      <c r="E1193" s="15" t="s">
        <v>1553</v>
      </c>
      <c r="F1193" s="18">
        <f>301-255+48</f>
        <v>94</v>
      </c>
      <c r="G1193" s="17">
        <f t="shared" si="52"/>
        <v>94</v>
      </c>
      <c r="H1193" s="18"/>
    </row>
    <row r="1194" spans="1:8" ht="36.75" customHeight="1">
      <c r="A1194" s="16" t="s">
        <v>94</v>
      </c>
      <c r="B1194" s="15" t="s">
        <v>1650</v>
      </c>
      <c r="C1194" s="15" t="s">
        <v>1653</v>
      </c>
      <c r="D1194" s="15" t="s">
        <v>264</v>
      </c>
      <c r="E1194" s="15" t="s">
        <v>575</v>
      </c>
      <c r="F1194" s="17">
        <f>F1195</f>
        <v>4648</v>
      </c>
      <c r="G1194" s="17">
        <f t="shared" si="52"/>
        <v>4648</v>
      </c>
      <c r="H1194" s="17"/>
    </row>
    <row r="1195" spans="1:8" ht="18" customHeight="1">
      <c r="A1195" s="35" t="s">
        <v>842</v>
      </c>
      <c r="B1195" s="15" t="s">
        <v>1650</v>
      </c>
      <c r="C1195" s="15" t="s">
        <v>1653</v>
      </c>
      <c r="D1195" s="15" t="s">
        <v>264</v>
      </c>
      <c r="E1195" s="15" t="s">
        <v>471</v>
      </c>
      <c r="F1195" s="17">
        <f>F1196</f>
        <v>4648</v>
      </c>
      <c r="G1195" s="17">
        <f t="shared" si="52"/>
        <v>4648</v>
      </c>
      <c r="H1195" s="18"/>
    </row>
    <row r="1196" spans="1:8" ht="24.75" customHeight="1">
      <c r="A1196" s="16" t="s">
        <v>1552</v>
      </c>
      <c r="B1196" s="15" t="s">
        <v>1650</v>
      </c>
      <c r="C1196" s="15" t="s">
        <v>1653</v>
      </c>
      <c r="D1196" s="15" t="s">
        <v>264</v>
      </c>
      <c r="E1196" s="15" t="s">
        <v>1553</v>
      </c>
      <c r="F1196" s="18">
        <v>4648</v>
      </c>
      <c r="G1196" s="17">
        <f t="shared" si="52"/>
        <v>4648</v>
      </c>
      <c r="H1196" s="18"/>
    </row>
    <row r="1197" spans="1:8" ht="19.5" customHeight="1" hidden="1">
      <c r="A1197" s="16" t="s">
        <v>265</v>
      </c>
      <c r="B1197" s="15" t="s">
        <v>1650</v>
      </c>
      <c r="C1197" s="15" t="s">
        <v>1653</v>
      </c>
      <c r="D1197" s="15" t="s">
        <v>1444</v>
      </c>
      <c r="E1197" s="15" t="s">
        <v>575</v>
      </c>
      <c r="F1197" s="17">
        <f>F1198</f>
        <v>0</v>
      </c>
      <c r="G1197" s="17">
        <f aca="true" t="shared" si="53" ref="G1197:G1203">F1197-H1197</f>
        <v>0</v>
      </c>
      <c r="H1197" s="18"/>
    </row>
    <row r="1198" spans="1:8" ht="25.5" customHeight="1" hidden="1">
      <c r="A1198" s="35" t="s">
        <v>842</v>
      </c>
      <c r="B1198" s="15" t="s">
        <v>1650</v>
      </c>
      <c r="C1198" s="15" t="s">
        <v>1653</v>
      </c>
      <c r="D1198" s="15" t="s">
        <v>1444</v>
      </c>
      <c r="E1198" s="15" t="s">
        <v>471</v>
      </c>
      <c r="F1198" s="18"/>
      <c r="G1198" s="17">
        <f t="shared" si="53"/>
        <v>0</v>
      </c>
      <c r="H1198" s="18"/>
    </row>
    <row r="1199" spans="1:8" ht="36.75" customHeight="1" hidden="1">
      <c r="A1199" s="16" t="s">
        <v>451</v>
      </c>
      <c r="B1199" s="15" t="s">
        <v>1650</v>
      </c>
      <c r="C1199" s="15" t="s">
        <v>1653</v>
      </c>
      <c r="D1199" s="15" t="s">
        <v>452</v>
      </c>
      <c r="E1199" s="15" t="s">
        <v>471</v>
      </c>
      <c r="F1199" s="17">
        <f>F1200</f>
        <v>0</v>
      </c>
      <c r="G1199" s="17">
        <f t="shared" si="53"/>
        <v>0</v>
      </c>
      <c r="H1199" s="18"/>
    </row>
    <row r="1200" spans="1:8" ht="20.25" customHeight="1" hidden="1">
      <c r="A1200" s="16" t="s">
        <v>997</v>
      </c>
      <c r="B1200" s="15" t="s">
        <v>1650</v>
      </c>
      <c r="C1200" s="15" t="s">
        <v>1653</v>
      </c>
      <c r="D1200" s="15" t="s">
        <v>452</v>
      </c>
      <c r="E1200" s="15" t="s">
        <v>1553</v>
      </c>
      <c r="F1200" s="18"/>
      <c r="G1200" s="17">
        <f t="shared" si="53"/>
        <v>0</v>
      </c>
      <c r="H1200" s="18"/>
    </row>
    <row r="1201" spans="1:8" ht="31.5" customHeight="1">
      <c r="A1201" s="16" t="s">
        <v>508</v>
      </c>
      <c r="B1201" s="15" t="s">
        <v>1650</v>
      </c>
      <c r="C1201" s="15" t="s">
        <v>1653</v>
      </c>
      <c r="D1201" s="15" t="s">
        <v>507</v>
      </c>
      <c r="E1201" s="15" t="s">
        <v>575</v>
      </c>
      <c r="F1201" s="17">
        <f>F1202</f>
        <v>3500</v>
      </c>
      <c r="G1201" s="17">
        <f t="shared" si="53"/>
        <v>3500</v>
      </c>
      <c r="H1201" s="18"/>
    </row>
    <row r="1202" spans="1:8" ht="21" customHeight="1">
      <c r="A1202" s="35" t="s">
        <v>842</v>
      </c>
      <c r="B1202" s="15" t="s">
        <v>1650</v>
      </c>
      <c r="C1202" s="15" t="s">
        <v>1653</v>
      </c>
      <c r="D1202" s="15" t="s">
        <v>507</v>
      </c>
      <c r="E1202" s="15" t="s">
        <v>471</v>
      </c>
      <c r="F1202" s="17">
        <f>F1203</f>
        <v>3500</v>
      </c>
      <c r="G1202" s="17">
        <f t="shared" si="53"/>
        <v>3500</v>
      </c>
      <c r="H1202" s="18"/>
    </row>
    <row r="1203" spans="1:8" ht="26.25" customHeight="1">
      <c r="A1203" s="16" t="s">
        <v>1552</v>
      </c>
      <c r="B1203" s="15" t="s">
        <v>1650</v>
      </c>
      <c r="C1203" s="15" t="s">
        <v>1653</v>
      </c>
      <c r="D1203" s="15" t="s">
        <v>507</v>
      </c>
      <c r="E1203" s="15" t="s">
        <v>1553</v>
      </c>
      <c r="F1203" s="18">
        <f>3000+500</f>
        <v>3500</v>
      </c>
      <c r="G1203" s="17">
        <f t="shared" si="53"/>
        <v>3500</v>
      </c>
      <c r="H1203" s="18"/>
    </row>
    <row r="1204" spans="1:8" ht="26.25" customHeight="1" hidden="1">
      <c r="A1204" s="16" t="s">
        <v>924</v>
      </c>
      <c r="B1204" s="15" t="s">
        <v>1650</v>
      </c>
      <c r="C1204" s="15" t="s">
        <v>1653</v>
      </c>
      <c r="D1204" s="15" t="s">
        <v>705</v>
      </c>
      <c r="E1204" s="15" t="s">
        <v>575</v>
      </c>
      <c r="F1204" s="17">
        <f>F1205</f>
        <v>0</v>
      </c>
      <c r="G1204" s="17">
        <f>G1205</f>
        <v>0</v>
      </c>
      <c r="H1204" s="18">
        <f>H1205</f>
        <v>0</v>
      </c>
    </row>
    <row r="1205" spans="1:8" ht="21" customHeight="1" hidden="1">
      <c r="A1205" s="35" t="s">
        <v>842</v>
      </c>
      <c r="B1205" s="15" t="s">
        <v>1650</v>
      </c>
      <c r="C1205" s="15" t="s">
        <v>1653</v>
      </c>
      <c r="D1205" s="15" t="s">
        <v>705</v>
      </c>
      <c r="E1205" s="15" t="s">
        <v>471</v>
      </c>
      <c r="F1205" s="18"/>
      <c r="G1205" s="17">
        <f aca="true" t="shared" si="54" ref="G1205:G1254">F1205-H1205</f>
        <v>0</v>
      </c>
      <c r="H1205" s="18"/>
    </row>
    <row r="1206" spans="1:8" ht="24">
      <c r="A1206" s="30" t="s">
        <v>661</v>
      </c>
      <c r="B1206" s="15" t="s">
        <v>1650</v>
      </c>
      <c r="C1206" s="15" t="s">
        <v>1653</v>
      </c>
      <c r="D1206" s="15" t="s">
        <v>268</v>
      </c>
      <c r="E1206" s="15"/>
      <c r="F1206" s="17">
        <f>F1207</f>
        <v>466</v>
      </c>
      <c r="G1206" s="17">
        <f t="shared" si="54"/>
        <v>466</v>
      </c>
      <c r="H1206" s="17"/>
    </row>
    <row r="1207" spans="1:8" ht="24">
      <c r="A1207" s="16" t="s">
        <v>745</v>
      </c>
      <c r="B1207" s="15" t="s">
        <v>1650</v>
      </c>
      <c r="C1207" s="15" t="s">
        <v>1653</v>
      </c>
      <c r="D1207" s="15" t="s">
        <v>268</v>
      </c>
      <c r="E1207" s="15" t="s">
        <v>575</v>
      </c>
      <c r="F1207" s="17">
        <f>F1209+F1211</f>
        <v>466</v>
      </c>
      <c r="G1207" s="17">
        <f t="shared" si="54"/>
        <v>466</v>
      </c>
      <c r="H1207" s="18"/>
    </row>
    <row r="1208" spans="1:8" ht="96">
      <c r="A1208" s="143" t="s">
        <v>785</v>
      </c>
      <c r="B1208" s="15" t="s">
        <v>1650</v>
      </c>
      <c r="C1208" s="15" t="s">
        <v>1653</v>
      </c>
      <c r="D1208" s="15" t="s">
        <v>746</v>
      </c>
      <c r="E1208" s="15"/>
      <c r="F1208" s="17">
        <f>F1209</f>
        <v>466</v>
      </c>
      <c r="G1208" s="17">
        <f t="shared" si="54"/>
        <v>466</v>
      </c>
      <c r="H1208" s="18"/>
    </row>
    <row r="1209" spans="1:8" ht="36">
      <c r="A1209" s="16" t="s">
        <v>1430</v>
      </c>
      <c r="B1209" s="15" t="s">
        <v>1650</v>
      </c>
      <c r="C1209" s="15" t="s">
        <v>1653</v>
      </c>
      <c r="D1209" s="15" t="s">
        <v>746</v>
      </c>
      <c r="E1209" s="15" t="s">
        <v>1031</v>
      </c>
      <c r="F1209" s="18">
        <v>466</v>
      </c>
      <c r="G1209" s="17">
        <f t="shared" si="54"/>
        <v>466</v>
      </c>
      <c r="H1209" s="17"/>
    </row>
    <row r="1210" spans="1:8" ht="15.75" hidden="1">
      <c r="A1210" s="16" t="s">
        <v>443</v>
      </c>
      <c r="B1210" s="15" t="s">
        <v>1650</v>
      </c>
      <c r="C1210" s="15" t="s">
        <v>1653</v>
      </c>
      <c r="D1210" s="15" t="s">
        <v>962</v>
      </c>
      <c r="E1210" s="15"/>
      <c r="F1210" s="17">
        <f>F1211</f>
        <v>0</v>
      </c>
      <c r="G1210" s="17">
        <f t="shared" si="54"/>
        <v>0</v>
      </c>
      <c r="H1210" s="17"/>
    </row>
    <row r="1211" spans="1:8" ht="24.75" hidden="1">
      <c r="A1211" s="16" t="s">
        <v>747</v>
      </c>
      <c r="B1211" s="15" t="s">
        <v>1650</v>
      </c>
      <c r="C1211" s="15" t="s">
        <v>1653</v>
      </c>
      <c r="D1211" s="15" t="s">
        <v>962</v>
      </c>
      <c r="E1211" s="15" t="s">
        <v>105</v>
      </c>
      <c r="F1211" s="18"/>
      <c r="G1211" s="17">
        <f t="shared" si="54"/>
        <v>0</v>
      </c>
      <c r="H1211" s="18"/>
    </row>
    <row r="1212" spans="1:8" ht="24">
      <c r="A1212" s="16" t="s">
        <v>1148</v>
      </c>
      <c r="B1212" s="15" t="s">
        <v>1650</v>
      </c>
      <c r="C1212" s="15" t="s">
        <v>1653</v>
      </c>
      <c r="D1212" s="15" t="s">
        <v>1149</v>
      </c>
      <c r="E1212" s="15"/>
      <c r="F1212" s="17">
        <f>F1213+F1215+F1219+F1224</f>
        <v>60425.9</v>
      </c>
      <c r="G1212" s="17">
        <f>G1213+G1215+G1219+G1224</f>
        <v>24824.9</v>
      </c>
      <c r="H1212" s="17">
        <f>H1213+H1215+H1219+H1224</f>
        <v>35601</v>
      </c>
    </row>
    <row r="1213" spans="1:8" ht="148.5" customHeight="1" hidden="1">
      <c r="A1213" s="16" t="s">
        <v>480</v>
      </c>
      <c r="B1213" s="15" t="s">
        <v>1650</v>
      </c>
      <c r="C1213" s="15" t="s">
        <v>1653</v>
      </c>
      <c r="D1213" s="15" t="s">
        <v>481</v>
      </c>
      <c r="E1213" s="15" t="s">
        <v>575</v>
      </c>
      <c r="F1213" s="17">
        <f>F1214</f>
        <v>0</v>
      </c>
      <c r="G1213" s="17">
        <f t="shared" si="54"/>
        <v>0</v>
      </c>
      <c r="H1213" s="17">
        <f>H1214</f>
        <v>0</v>
      </c>
    </row>
    <row r="1214" spans="1:8" ht="17.25" customHeight="1" hidden="1">
      <c r="A1214" s="16" t="s">
        <v>747</v>
      </c>
      <c r="B1214" s="15" t="s">
        <v>1650</v>
      </c>
      <c r="C1214" s="15" t="s">
        <v>1653</v>
      </c>
      <c r="D1214" s="15" t="s">
        <v>481</v>
      </c>
      <c r="E1214" s="15" t="s">
        <v>105</v>
      </c>
      <c r="F1214" s="18">
        <v>0</v>
      </c>
      <c r="G1214" s="17">
        <f t="shared" si="54"/>
        <v>0</v>
      </c>
      <c r="H1214" s="18">
        <v>0</v>
      </c>
    </row>
    <row r="1215" spans="1:8" ht="15">
      <c r="A1215" s="31" t="s">
        <v>32</v>
      </c>
      <c r="B1215" s="15" t="s">
        <v>1650</v>
      </c>
      <c r="C1215" s="15" t="s">
        <v>1653</v>
      </c>
      <c r="D1215" s="15" t="s">
        <v>33</v>
      </c>
      <c r="E1215" s="15"/>
      <c r="F1215" s="33">
        <f>F1216+F1222</f>
        <v>22263.5</v>
      </c>
      <c r="G1215" s="17">
        <f t="shared" si="54"/>
        <v>22263.5</v>
      </c>
      <c r="H1215" s="33">
        <f>H1216+H1222</f>
        <v>0</v>
      </c>
    </row>
    <row r="1216" spans="1:8" ht="72">
      <c r="A1216" s="35" t="s">
        <v>174</v>
      </c>
      <c r="B1216" s="15" t="s">
        <v>1650</v>
      </c>
      <c r="C1216" s="15" t="s">
        <v>1653</v>
      </c>
      <c r="D1216" s="15" t="s">
        <v>647</v>
      </c>
      <c r="E1216" s="15"/>
      <c r="F1216" s="82">
        <f>F1217</f>
        <v>2221.5</v>
      </c>
      <c r="G1216" s="17">
        <f t="shared" si="54"/>
        <v>2221.5</v>
      </c>
      <c r="H1216" s="33">
        <f>H1217</f>
        <v>0</v>
      </c>
    </row>
    <row r="1217" spans="1:8" ht="48">
      <c r="A1217" s="16" t="s">
        <v>175</v>
      </c>
      <c r="B1217" s="15" t="s">
        <v>1650</v>
      </c>
      <c r="C1217" s="15" t="s">
        <v>1653</v>
      </c>
      <c r="D1217" s="15" t="s">
        <v>596</v>
      </c>
      <c r="E1217" s="15" t="s">
        <v>575</v>
      </c>
      <c r="F1217" s="82">
        <f>F1218</f>
        <v>2221.5</v>
      </c>
      <c r="G1217" s="17">
        <f t="shared" si="54"/>
        <v>2221.5</v>
      </c>
      <c r="H1217" s="34"/>
    </row>
    <row r="1218" spans="1:8" ht="24">
      <c r="A1218" s="16" t="s">
        <v>235</v>
      </c>
      <c r="B1218" s="15" t="s">
        <v>1650</v>
      </c>
      <c r="C1218" s="15" t="s">
        <v>1653</v>
      </c>
      <c r="D1218" s="15" t="s">
        <v>596</v>
      </c>
      <c r="E1218" s="15" t="s">
        <v>88</v>
      </c>
      <c r="F1218" s="34">
        <v>2221.5</v>
      </c>
      <c r="G1218" s="17">
        <f t="shared" si="54"/>
        <v>2221.5</v>
      </c>
      <c r="H1218" s="34"/>
    </row>
    <row r="1219" spans="1:8" ht="24">
      <c r="A1219" s="16" t="s">
        <v>963</v>
      </c>
      <c r="B1219" s="15" t="s">
        <v>1650</v>
      </c>
      <c r="C1219" s="15" t="s">
        <v>1653</v>
      </c>
      <c r="D1219" s="15" t="s">
        <v>804</v>
      </c>
      <c r="E1219" s="15" t="s">
        <v>575</v>
      </c>
      <c r="F1219" s="17">
        <f>F1220</f>
        <v>2561.4</v>
      </c>
      <c r="G1219" s="17">
        <f t="shared" si="54"/>
        <v>2561.4</v>
      </c>
      <c r="H1219" s="17">
        <f>H1221</f>
        <v>0</v>
      </c>
    </row>
    <row r="1220" spans="1:8" ht="24">
      <c r="A1220" s="169" t="s">
        <v>232</v>
      </c>
      <c r="B1220" s="15" t="s">
        <v>1650</v>
      </c>
      <c r="C1220" s="15" t="s">
        <v>1653</v>
      </c>
      <c r="D1220" s="15" t="s">
        <v>804</v>
      </c>
      <c r="E1220" s="15" t="s">
        <v>233</v>
      </c>
      <c r="F1220" s="17">
        <f>F1221</f>
        <v>2561.4</v>
      </c>
      <c r="G1220" s="17">
        <f t="shared" si="54"/>
        <v>2561.4</v>
      </c>
      <c r="H1220" s="17"/>
    </row>
    <row r="1221" spans="1:8" ht="24">
      <c r="A1221" s="16" t="s">
        <v>235</v>
      </c>
      <c r="B1221" s="15" t="s">
        <v>1650</v>
      </c>
      <c r="C1221" s="15" t="s">
        <v>1653</v>
      </c>
      <c r="D1221" s="15" t="s">
        <v>804</v>
      </c>
      <c r="E1221" s="15" t="s">
        <v>88</v>
      </c>
      <c r="F1221" s="18">
        <f>1230.4+1331</f>
        <v>2561.4</v>
      </c>
      <c r="G1221" s="17">
        <f t="shared" si="54"/>
        <v>2561.4</v>
      </c>
      <c r="H1221" s="38"/>
    </row>
    <row r="1222" spans="1:8" ht="60">
      <c r="A1222" s="16" t="s">
        <v>282</v>
      </c>
      <c r="B1222" s="15" t="s">
        <v>1650</v>
      </c>
      <c r="C1222" s="15" t="s">
        <v>1653</v>
      </c>
      <c r="D1222" s="15" t="s">
        <v>283</v>
      </c>
      <c r="E1222" s="15"/>
      <c r="F1222" s="17">
        <f>F1223</f>
        <v>20042</v>
      </c>
      <c r="G1222" s="17">
        <f t="shared" si="54"/>
        <v>20042</v>
      </c>
      <c r="H1222" s="18">
        <f>H1223</f>
        <v>0</v>
      </c>
    </row>
    <row r="1223" spans="1:8" ht="36">
      <c r="A1223" s="16" t="s">
        <v>843</v>
      </c>
      <c r="B1223" s="15" t="s">
        <v>1650</v>
      </c>
      <c r="C1223" s="15" t="s">
        <v>1653</v>
      </c>
      <c r="D1223" s="15" t="s">
        <v>283</v>
      </c>
      <c r="E1223" s="15" t="s">
        <v>844</v>
      </c>
      <c r="F1223" s="18">
        <v>20042</v>
      </c>
      <c r="G1223" s="17">
        <f t="shared" si="54"/>
        <v>20042</v>
      </c>
      <c r="H1223" s="18"/>
    </row>
    <row r="1224" spans="1:8" ht="24">
      <c r="A1224" s="16" t="s">
        <v>266</v>
      </c>
      <c r="B1224" s="15" t="s">
        <v>1650</v>
      </c>
      <c r="C1224" s="15" t="s">
        <v>1653</v>
      </c>
      <c r="D1224" s="15" t="s">
        <v>1100</v>
      </c>
      <c r="E1224" s="15" t="s">
        <v>575</v>
      </c>
      <c r="F1224" s="17">
        <f>F1225</f>
        <v>35601</v>
      </c>
      <c r="G1224" s="17">
        <f t="shared" si="54"/>
        <v>0</v>
      </c>
      <c r="H1224" s="17">
        <f>H1225</f>
        <v>35601</v>
      </c>
    </row>
    <row r="1225" spans="1:8" ht="24">
      <c r="A1225" s="169" t="s">
        <v>232</v>
      </c>
      <c r="B1225" s="15" t="s">
        <v>1650</v>
      </c>
      <c r="C1225" s="15" t="s">
        <v>1653</v>
      </c>
      <c r="D1225" s="15" t="s">
        <v>1100</v>
      </c>
      <c r="E1225" s="15" t="s">
        <v>233</v>
      </c>
      <c r="F1225" s="17">
        <f>F1226</f>
        <v>35601</v>
      </c>
      <c r="G1225" s="17">
        <f t="shared" si="54"/>
        <v>0</v>
      </c>
      <c r="H1225" s="17">
        <f>H1226</f>
        <v>35601</v>
      </c>
    </row>
    <row r="1226" spans="1:8" ht="36">
      <c r="A1226" s="16" t="s">
        <v>843</v>
      </c>
      <c r="B1226" s="15" t="s">
        <v>1650</v>
      </c>
      <c r="C1226" s="15" t="s">
        <v>1653</v>
      </c>
      <c r="D1226" s="15" t="s">
        <v>1100</v>
      </c>
      <c r="E1226" s="15" t="s">
        <v>844</v>
      </c>
      <c r="F1226" s="18">
        <v>35601</v>
      </c>
      <c r="G1226" s="17">
        <f t="shared" si="54"/>
        <v>0</v>
      </c>
      <c r="H1226" s="18">
        <v>35601</v>
      </c>
    </row>
    <row r="1227" spans="1:8" ht="24">
      <c r="A1227" s="31" t="s">
        <v>1664</v>
      </c>
      <c r="B1227" s="15" t="s">
        <v>1650</v>
      </c>
      <c r="C1227" s="15" t="s">
        <v>1653</v>
      </c>
      <c r="D1227" s="15" t="s">
        <v>1663</v>
      </c>
      <c r="E1227" s="15"/>
      <c r="F1227" s="17">
        <f>F1228+F1231+F1238+F1240+F1243</f>
        <v>12791.5</v>
      </c>
      <c r="G1227" s="17">
        <f t="shared" si="54"/>
        <v>12791.5</v>
      </c>
      <c r="H1227" s="38"/>
    </row>
    <row r="1228" spans="1:8" ht="36">
      <c r="A1228" s="16" t="s">
        <v>176</v>
      </c>
      <c r="B1228" s="15" t="s">
        <v>1650</v>
      </c>
      <c r="C1228" s="15" t="s">
        <v>1653</v>
      </c>
      <c r="D1228" s="15" t="s">
        <v>854</v>
      </c>
      <c r="E1228" s="15" t="s">
        <v>575</v>
      </c>
      <c r="F1228" s="17">
        <f>F1229</f>
        <v>3000</v>
      </c>
      <c r="G1228" s="17">
        <f t="shared" si="54"/>
        <v>3000</v>
      </c>
      <c r="H1228" s="38"/>
    </row>
    <row r="1229" spans="1:8" ht="24">
      <c r="A1229" s="35" t="s">
        <v>997</v>
      </c>
      <c r="B1229" s="15" t="s">
        <v>1650</v>
      </c>
      <c r="C1229" s="15" t="s">
        <v>1653</v>
      </c>
      <c r="D1229" s="15" t="s">
        <v>854</v>
      </c>
      <c r="E1229" s="15" t="s">
        <v>30</v>
      </c>
      <c r="F1229" s="17">
        <f>F1230</f>
        <v>3000</v>
      </c>
      <c r="G1229" s="17">
        <f t="shared" si="54"/>
        <v>3000</v>
      </c>
      <c r="H1229" s="38"/>
    </row>
    <row r="1230" spans="1:8" ht="60">
      <c r="A1230" s="35" t="s">
        <v>729</v>
      </c>
      <c r="B1230" s="15" t="s">
        <v>1650</v>
      </c>
      <c r="C1230" s="15" t="s">
        <v>1653</v>
      </c>
      <c r="D1230" s="15" t="s">
        <v>854</v>
      </c>
      <c r="E1230" s="15" t="s">
        <v>844</v>
      </c>
      <c r="F1230" s="18">
        <v>3000</v>
      </c>
      <c r="G1230" s="17">
        <f t="shared" si="54"/>
        <v>3000</v>
      </c>
      <c r="H1230" s="38"/>
    </row>
    <row r="1231" spans="1:8" ht="36">
      <c r="A1231" s="142" t="s">
        <v>1534</v>
      </c>
      <c r="B1231" s="15" t="s">
        <v>1650</v>
      </c>
      <c r="C1231" s="15" t="s">
        <v>1653</v>
      </c>
      <c r="D1231" s="15" t="s">
        <v>483</v>
      </c>
      <c r="E1231" s="15" t="s">
        <v>575</v>
      </c>
      <c r="F1231" s="17">
        <f>F1232+F1234</f>
        <v>3984</v>
      </c>
      <c r="G1231" s="17">
        <f aca="true" t="shared" si="55" ref="G1231:G1237">F1231-H1231</f>
        <v>3984</v>
      </c>
      <c r="H1231" s="38"/>
    </row>
    <row r="1232" spans="1:8" ht="27" customHeight="1" hidden="1">
      <c r="A1232" s="143" t="s">
        <v>1032</v>
      </c>
      <c r="B1232" s="15" t="s">
        <v>1650</v>
      </c>
      <c r="C1232" s="15" t="s">
        <v>1653</v>
      </c>
      <c r="D1232" s="15" t="s">
        <v>483</v>
      </c>
      <c r="E1232" s="15" t="s">
        <v>1644</v>
      </c>
      <c r="F1232" s="18">
        <f>F1233</f>
        <v>0</v>
      </c>
      <c r="G1232" s="17">
        <f t="shared" si="55"/>
        <v>0</v>
      </c>
      <c r="H1232" s="38"/>
    </row>
    <row r="1233" spans="1:8" ht="29.25" customHeight="1" hidden="1">
      <c r="A1233" s="155" t="s">
        <v>1535</v>
      </c>
      <c r="B1233" s="15" t="s">
        <v>1650</v>
      </c>
      <c r="C1233" s="15" t="s">
        <v>1653</v>
      </c>
      <c r="D1233" s="15" t="s">
        <v>483</v>
      </c>
      <c r="E1233" s="15" t="s">
        <v>1536</v>
      </c>
      <c r="F1233" s="18">
        <v>0</v>
      </c>
      <c r="G1233" s="17">
        <f t="shared" si="55"/>
        <v>0</v>
      </c>
      <c r="H1233" s="38"/>
    </row>
    <row r="1234" spans="1:8" ht="29.25" customHeight="1">
      <c r="A1234" s="155" t="s">
        <v>232</v>
      </c>
      <c r="B1234" s="15" t="s">
        <v>1650</v>
      </c>
      <c r="C1234" s="15" t="s">
        <v>1653</v>
      </c>
      <c r="D1234" s="15" t="s">
        <v>483</v>
      </c>
      <c r="E1234" s="15" t="s">
        <v>233</v>
      </c>
      <c r="F1234" s="17">
        <f>F1235+F1236+F1237</f>
        <v>3984</v>
      </c>
      <c r="G1234" s="17">
        <f t="shared" si="55"/>
        <v>3984</v>
      </c>
      <c r="H1234" s="38"/>
    </row>
    <row r="1235" spans="1:8" ht="36.75" customHeight="1">
      <c r="A1235" s="142" t="s">
        <v>1511</v>
      </c>
      <c r="B1235" s="15" t="s">
        <v>1650</v>
      </c>
      <c r="C1235" s="15" t="s">
        <v>1653</v>
      </c>
      <c r="D1235" s="15" t="s">
        <v>483</v>
      </c>
      <c r="E1235" s="15" t="s">
        <v>1553</v>
      </c>
      <c r="F1235" s="18">
        <v>3000</v>
      </c>
      <c r="G1235" s="17">
        <f t="shared" si="55"/>
        <v>3000</v>
      </c>
      <c r="H1235" s="38"/>
    </row>
    <row r="1236" spans="1:8" ht="36">
      <c r="A1236" s="143" t="s">
        <v>585</v>
      </c>
      <c r="B1236" s="15" t="s">
        <v>1650</v>
      </c>
      <c r="C1236" s="15" t="s">
        <v>1653</v>
      </c>
      <c r="D1236" s="15" t="s">
        <v>483</v>
      </c>
      <c r="E1236" s="15" t="s">
        <v>1031</v>
      </c>
      <c r="F1236" s="18">
        <v>250</v>
      </c>
      <c r="G1236" s="17">
        <f t="shared" si="55"/>
        <v>250</v>
      </c>
      <c r="H1236" s="38"/>
    </row>
    <row r="1237" spans="1:8" ht="84">
      <c r="A1237" s="143" t="s">
        <v>317</v>
      </c>
      <c r="B1237" s="15" t="s">
        <v>1650</v>
      </c>
      <c r="C1237" s="15" t="s">
        <v>1653</v>
      </c>
      <c r="D1237" s="15" t="s">
        <v>483</v>
      </c>
      <c r="E1237" s="15" t="s">
        <v>1031</v>
      </c>
      <c r="F1237" s="18">
        <v>734</v>
      </c>
      <c r="G1237" s="17">
        <f t="shared" si="55"/>
        <v>734</v>
      </c>
      <c r="H1237" s="38"/>
    </row>
    <row r="1238" spans="1:8" ht="36">
      <c r="A1238" s="16" t="s">
        <v>1509</v>
      </c>
      <c r="B1238" s="15" t="s">
        <v>1650</v>
      </c>
      <c r="C1238" s="15" t="s">
        <v>1653</v>
      </c>
      <c r="D1238" s="15" t="s">
        <v>482</v>
      </c>
      <c r="E1238" s="15" t="s">
        <v>575</v>
      </c>
      <c r="F1238" s="17">
        <f>F1239</f>
        <v>3200</v>
      </c>
      <c r="G1238" s="17">
        <f t="shared" si="54"/>
        <v>3200</v>
      </c>
      <c r="H1238" s="38"/>
    </row>
    <row r="1239" spans="1:8" ht="24">
      <c r="A1239" s="16" t="s">
        <v>235</v>
      </c>
      <c r="B1239" s="15" t="s">
        <v>1650</v>
      </c>
      <c r="C1239" s="15" t="s">
        <v>1653</v>
      </c>
      <c r="D1239" s="15" t="s">
        <v>482</v>
      </c>
      <c r="E1239" s="15" t="s">
        <v>88</v>
      </c>
      <c r="F1239" s="18">
        <v>3200</v>
      </c>
      <c r="G1239" s="17">
        <f t="shared" si="54"/>
        <v>3200</v>
      </c>
      <c r="H1239" s="38"/>
    </row>
    <row r="1240" spans="1:8" ht="75" customHeight="1">
      <c r="A1240" s="146" t="s">
        <v>41</v>
      </c>
      <c r="B1240" s="15" t="s">
        <v>1650</v>
      </c>
      <c r="C1240" s="15" t="s">
        <v>1653</v>
      </c>
      <c r="D1240" s="15" t="s">
        <v>1128</v>
      </c>
      <c r="E1240" s="15" t="s">
        <v>575</v>
      </c>
      <c r="F1240" s="17">
        <f>F1242</f>
        <v>2221.5000000000005</v>
      </c>
      <c r="G1240" s="17">
        <f>G1242</f>
        <v>2221.5000000000005</v>
      </c>
      <c r="H1240" s="38"/>
    </row>
    <row r="1241" spans="1:8" ht="132" hidden="1">
      <c r="A1241" s="142" t="s">
        <v>467</v>
      </c>
      <c r="B1241" s="15" t="s">
        <v>1650</v>
      </c>
      <c r="C1241" s="15" t="s">
        <v>1653</v>
      </c>
      <c r="D1241" s="15" t="s">
        <v>1128</v>
      </c>
      <c r="E1241" s="15" t="s">
        <v>575</v>
      </c>
      <c r="F1241" s="18"/>
      <c r="G1241" s="17">
        <f t="shared" si="54"/>
        <v>0</v>
      </c>
      <c r="H1241" s="38"/>
    </row>
    <row r="1242" spans="1:8" ht="24">
      <c r="A1242" s="16" t="s">
        <v>235</v>
      </c>
      <c r="B1242" s="15" t="s">
        <v>1650</v>
      </c>
      <c r="C1242" s="15" t="s">
        <v>1653</v>
      </c>
      <c r="D1242" s="15" t="s">
        <v>1128</v>
      </c>
      <c r="E1242" s="15" t="s">
        <v>88</v>
      </c>
      <c r="F1242" s="18">
        <f>2321.3+342.4-442.2</f>
        <v>2221.5000000000005</v>
      </c>
      <c r="G1242" s="17">
        <f t="shared" si="54"/>
        <v>2221.5000000000005</v>
      </c>
      <c r="H1242" s="38"/>
    </row>
    <row r="1243" spans="1:8" ht="36">
      <c r="A1243" s="16" t="s">
        <v>1448</v>
      </c>
      <c r="B1243" s="15" t="s">
        <v>1650</v>
      </c>
      <c r="C1243" s="15" t="s">
        <v>1653</v>
      </c>
      <c r="D1243" s="15" t="s">
        <v>1449</v>
      </c>
      <c r="E1243" s="15" t="s">
        <v>575</v>
      </c>
      <c r="F1243" s="17">
        <f>F1244</f>
        <v>386</v>
      </c>
      <c r="G1243" s="17">
        <f t="shared" si="54"/>
        <v>386</v>
      </c>
      <c r="H1243" s="38"/>
    </row>
    <row r="1244" spans="1:8" ht="24">
      <c r="A1244" s="16" t="s">
        <v>235</v>
      </c>
      <c r="B1244" s="15" t="s">
        <v>1650</v>
      </c>
      <c r="C1244" s="15" t="s">
        <v>1653</v>
      </c>
      <c r="D1244" s="15" t="s">
        <v>1449</v>
      </c>
      <c r="E1244" s="15" t="s">
        <v>88</v>
      </c>
      <c r="F1244" s="18">
        <v>386</v>
      </c>
      <c r="G1244" s="17">
        <f t="shared" si="54"/>
        <v>386</v>
      </c>
      <c r="H1244" s="38"/>
    </row>
    <row r="1245" spans="1:8" ht="15">
      <c r="A1245" s="29" t="s">
        <v>964</v>
      </c>
      <c r="B1245" s="15" t="s">
        <v>1650</v>
      </c>
      <c r="C1245" s="15" t="s">
        <v>439</v>
      </c>
      <c r="D1245" s="145"/>
      <c r="E1245" s="15"/>
      <c r="F1245" s="17">
        <f>F1249</f>
        <v>43741.6</v>
      </c>
      <c r="G1245" s="17">
        <f>G1249</f>
        <v>29.599999999998545</v>
      </c>
      <c r="H1245" s="17">
        <f>H1249</f>
        <v>43712</v>
      </c>
    </row>
    <row r="1246" spans="1:8" ht="15.75" hidden="1">
      <c r="A1246" s="31" t="s">
        <v>1145</v>
      </c>
      <c r="B1246" s="15" t="s">
        <v>1650</v>
      </c>
      <c r="C1246" s="15" t="s">
        <v>439</v>
      </c>
      <c r="D1246" s="172" t="s">
        <v>1144</v>
      </c>
      <c r="E1246" s="15"/>
      <c r="F1246" s="17">
        <f>F1247</f>
        <v>0</v>
      </c>
      <c r="G1246" s="17">
        <f>F1246-H1246</f>
        <v>0</v>
      </c>
      <c r="H1246" s="17">
        <f>H1247</f>
        <v>0</v>
      </c>
    </row>
    <row r="1247" spans="1:8" ht="60" hidden="1">
      <c r="A1247" s="35" t="s">
        <v>758</v>
      </c>
      <c r="B1247" s="15" t="s">
        <v>1650</v>
      </c>
      <c r="C1247" s="15" t="s">
        <v>439</v>
      </c>
      <c r="D1247" s="15" t="s">
        <v>562</v>
      </c>
      <c r="E1247" s="15" t="s">
        <v>575</v>
      </c>
      <c r="F1247" s="17">
        <f>F1248</f>
        <v>0</v>
      </c>
      <c r="G1247" s="17">
        <f t="shared" si="54"/>
        <v>0</v>
      </c>
      <c r="H1247" s="17">
        <f>H1248</f>
        <v>0</v>
      </c>
    </row>
    <row r="1248" spans="1:8" ht="24.75" hidden="1">
      <c r="A1248" s="35" t="s">
        <v>166</v>
      </c>
      <c r="B1248" s="15" t="s">
        <v>1650</v>
      </c>
      <c r="C1248" s="15" t="s">
        <v>439</v>
      </c>
      <c r="D1248" s="15" t="s">
        <v>562</v>
      </c>
      <c r="E1248" s="15" t="s">
        <v>738</v>
      </c>
      <c r="F1248" s="18"/>
      <c r="G1248" s="17">
        <f t="shared" si="54"/>
        <v>0</v>
      </c>
      <c r="H1248" s="18"/>
    </row>
    <row r="1249" spans="1:8" ht="15">
      <c r="A1249" s="30" t="s">
        <v>538</v>
      </c>
      <c r="B1249" s="15" t="s">
        <v>1650</v>
      </c>
      <c r="C1249" s="15" t="s">
        <v>439</v>
      </c>
      <c r="D1249" s="15" t="s">
        <v>1144</v>
      </c>
      <c r="E1249" s="15"/>
      <c r="F1249" s="17">
        <f>F1250+F1253</f>
        <v>43741.6</v>
      </c>
      <c r="G1249" s="17">
        <f>G1250+G1253</f>
        <v>29.599999999998545</v>
      </c>
      <c r="H1249" s="17">
        <f>H1250+H1253</f>
        <v>43712</v>
      </c>
    </row>
    <row r="1250" spans="1:8" ht="60">
      <c r="A1250" s="35" t="s">
        <v>7</v>
      </c>
      <c r="B1250" s="15" t="s">
        <v>1650</v>
      </c>
      <c r="C1250" s="15" t="s">
        <v>439</v>
      </c>
      <c r="D1250" s="15" t="s">
        <v>1283</v>
      </c>
      <c r="E1250" s="15"/>
      <c r="F1250" s="17">
        <f>F1251</f>
        <v>8842</v>
      </c>
      <c r="G1250" s="17">
        <f t="shared" si="54"/>
        <v>0</v>
      </c>
      <c r="H1250" s="17">
        <f>H1251</f>
        <v>8842</v>
      </c>
    </row>
    <row r="1251" spans="1:8" ht="63" customHeight="1">
      <c r="A1251" s="35" t="s">
        <v>8</v>
      </c>
      <c r="B1251" s="15" t="s">
        <v>1650</v>
      </c>
      <c r="C1251" s="15" t="s">
        <v>439</v>
      </c>
      <c r="D1251" s="15" t="s">
        <v>1284</v>
      </c>
      <c r="E1251" s="15" t="s">
        <v>575</v>
      </c>
      <c r="F1251" s="17">
        <f>F1252</f>
        <v>8842</v>
      </c>
      <c r="G1251" s="17">
        <f t="shared" si="54"/>
        <v>0</v>
      </c>
      <c r="H1251" s="17">
        <f>H1252</f>
        <v>8842</v>
      </c>
    </row>
    <row r="1252" spans="1:8" ht="33" customHeight="1">
      <c r="A1252" s="35" t="s">
        <v>9</v>
      </c>
      <c r="B1252" s="15" t="s">
        <v>1650</v>
      </c>
      <c r="C1252" s="15" t="s">
        <v>439</v>
      </c>
      <c r="D1252" s="15" t="s">
        <v>1284</v>
      </c>
      <c r="E1252" s="15" t="s">
        <v>530</v>
      </c>
      <c r="F1252" s="77">
        <v>8842</v>
      </c>
      <c r="G1252" s="17">
        <f t="shared" si="54"/>
        <v>0</v>
      </c>
      <c r="H1252" s="77">
        <v>8842</v>
      </c>
    </row>
    <row r="1253" spans="1:8" ht="95.25" customHeight="1">
      <c r="A1253" s="35" t="s">
        <v>524</v>
      </c>
      <c r="B1253" s="15" t="s">
        <v>1650</v>
      </c>
      <c r="C1253" s="15" t="s">
        <v>439</v>
      </c>
      <c r="D1253" s="15" t="s">
        <v>1101</v>
      </c>
      <c r="E1253" s="15" t="s">
        <v>575</v>
      </c>
      <c r="F1253" s="17">
        <f>F1256+F1258</f>
        <v>34899.6</v>
      </c>
      <c r="G1253" s="17">
        <f t="shared" si="54"/>
        <v>29.599999999998545</v>
      </c>
      <c r="H1253" s="17">
        <f>H1256+H1258</f>
        <v>34870</v>
      </c>
    </row>
    <row r="1254" spans="1:8" ht="24.75" hidden="1">
      <c r="A1254" s="35" t="s">
        <v>359</v>
      </c>
      <c r="B1254" s="15" t="s">
        <v>1650</v>
      </c>
      <c r="C1254" s="15" t="s">
        <v>439</v>
      </c>
      <c r="D1254" s="15" t="s">
        <v>965</v>
      </c>
      <c r="E1254" s="15" t="s">
        <v>360</v>
      </c>
      <c r="F1254" s="18">
        <v>0</v>
      </c>
      <c r="G1254" s="18">
        <f t="shared" si="54"/>
        <v>0</v>
      </c>
      <c r="H1254" s="18">
        <v>0</v>
      </c>
    </row>
    <row r="1255" spans="1:8" ht="24.75" hidden="1">
      <c r="A1255" s="16" t="s">
        <v>104</v>
      </c>
      <c r="B1255" s="15" t="s">
        <v>1650</v>
      </c>
      <c r="C1255" s="15" t="s">
        <v>439</v>
      </c>
      <c r="D1255" s="15" t="s">
        <v>965</v>
      </c>
      <c r="E1255" s="15" t="s">
        <v>360</v>
      </c>
      <c r="F1255" s="18"/>
      <c r="G1255" s="18"/>
      <c r="H1255" s="18"/>
    </row>
    <row r="1256" spans="1:8" ht="36">
      <c r="A1256" s="35" t="s">
        <v>1129</v>
      </c>
      <c r="B1256" s="15" t="s">
        <v>1650</v>
      </c>
      <c r="C1256" s="15" t="s">
        <v>439</v>
      </c>
      <c r="D1256" s="15" t="s">
        <v>1101</v>
      </c>
      <c r="E1256" s="15" t="s">
        <v>30</v>
      </c>
      <c r="F1256" s="17">
        <f>F1257</f>
        <v>34899.6</v>
      </c>
      <c r="G1256" s="17">
        <f>F1256-H1256</f>
        <v>29.599999999998545</v>
      </c>
      <c r="H1256" s="17">
        <f>H1257</f>
        <v>34870</v>
      </c>
    </row>
    <row r="1257" spans="1:8" ht="36">
      <c r="A1257" s="35" t="s">
        <v>843</v>
      </c>
      <c r="B1257" s="15" t="s">
        <v>1650</v>
      </c>
      <c r="C1257" s="15" t="s">
        <v>439</v>
      </c>
      <c r="D1257" s="15" t="s">
        <v>1101</v>
      </c>
      <c r="E1257" s="15" t="s">
        <v>844</v>
      </c>
      <c r="F1257" s="18">
        <v>34899.6</v>
      </c>
      <c r="G1257" s="17">
        <f>F1257-H1257</f>
        <v>29.599999999998545</v>
      </c>
      <c r="H1257" s="18">
        <v>34870</v>
      </c>
    </row>
    <row r="1258" spans="1:8" ht="108" hidden="1">
      <c r="A1258" s="35" t="s">
        <v>1610</v>
      </c>
      <c r="B1258" s="15" t="s">
        <v>1650</v>
      </c>
      <c r="C1258" s="15" t="s">
        <v>439</v>
      </c>
      <c r="D1258" s="15" t="s">
        <v>587</v>
      </c>
      <c r="E1258" s="15" t="s">
        <v>575</v>
      </c>
      <c r="F1258" s="17">
        <f>F1259</f>
        <v>0</v>
      </c>
      <c r="G1258" s="18">
        <f>F1258-H1258</f>
        <v>0</v>
      </c>
      <c r="H1258" s="17">
        <f>H1259</f>
        <v>0</v>
      </c>
    </row>
    <row r="1259" spans="1:8" ht="36" hidden="1">
      <c r="A1259" s="35" t="s">
        <v>1129</v>
      </c>
      <c r="B1259" s="15" t="s">
        <v>1650</v>
      </c>
      <c r="C1259" s="15" t="s">
        <v>439</v>
      </c>
      <c r="D1259" s="15" t="s">
        <v>587</v>
      </c>
      <c r="E1259" s="15" t="s">
        <v>30</v>
      </c>
      <c r="F1259" s="18"/>
      <c r="G1259" s="18">
        <f>F1259-H1259</f>
        <v>0</v>
      </c>
      <c r="H1259" s="18"/>
    </row>
    <row r="1260" spans="1:8" ht="72" hidden="1">
      <c r="A1260" s="35" t="s">
        <v>274</v>
      </c>
      <c r="B1260" s="15" t="s">
        <v>1650</v>
      </c>
      <c r="C1260" s="15" t="s">
        <v>439</v>
      </c>
      <c r="D1260" s="15"/>
      <c r="E1260" s="15"/>
      <c r="F1260" s="18"/>
      <c r="G1260" s="17">
        <f>F1260-H1260</f>
        <v>0</v>
      </c>
      <c r="H1260" s="18"/>
    </row>
    <row r="1261" spans="1:8" ht="15.75" hidden="1">
      <c r="A1261" s="16" t="s">
        <v>997</v>
      </c>
      <c r="B1261" s="15" t="s">
        <v>1650</v>
      </c>
      <c r="C1261" s="15" t="s">
        <v>439</v>
      </c>
      <c r="D1261" s="15"/>
      <c r="E1261" s="15"/>
      <c r="F1261" s="17">
        <f>F1262+F1263</f>
        <v>0</v>
      </c>
      <c r="G1261" s="17">
        <f>G1262+G1263</f>
        <v>0</v>
      </c>
      <c r="H1261" s="17">
        <f>H1262+H1263</f>
        <v>0</v>
      </c>
    </row>
    <row r="1262" spans="1:8" ht="24.75" hidden="1">
      <c r="A1262" s="16" t="s">
        <v>690</v>
      </c>
      <c r="B1262" s="15" t="s">
        <v>1650</v>
      </c>
      <c r="C1262" s="15" t="s">
        <v>439</v>
      </c>
      <c r="D1262" s="15" t="s">
        <v>1965</v>
      </c>
      <c r="E1262" s="15" t="s">
        <v>689</v>
      </c>
      <c r="F1262" s="18"/>
      <c r="G1262" s="17">
        <f>F1262-H1262</f>
        <v>0</v>
      </c>
      <c r="H1262" s="18"/>
    </row>
    <row r="1263" spans="1:8" ht="32.25" customHeight="1" hidden="1">
      <c r="A1263" s="16" t="s">
        <v>1435</v>
      </c>
      <c r="B1263" s="15" t="s">
        <v>1650</v>
      </c>
      <c r="C1263" s="15" t="s">
        <v>439</v>
      </c>
      <c r="D1263" s="15" t="s">
        <v>1965</v>
      </c>
      <c r="E1263" s="15" t="s">
        <v>691</v>
      </c>
      <c r="F1263" s="18"/>
      <c r="G1263" s="17">
        <f>F1263-H1263</f>
        <v>0</v>
      </c>
      <c r="H1263" s="18"/>
    </row>
    <row r="1264" spans="1:8" ht="15.75">
      <c r="A1264" s="22" t="s">
        <v>1573</v>
      </c>
      <c r="B1264" s="21" t="s">
        <v>98</v>
      </c>
      <c r="C1264" s="21"/>
      <c r="D1264" s="21"/>
      <c r="E1264" s="21"/>
      <c r="F1264" s="2">
        <f>F1265</f>
        <v>122393.90000000001</v>
      </c>
      <c r="G1264" s="2">
        <f>G1265</f>
        <v>122393.90000000001</v>
      </c>
      <c r="H1264" s="2">
        <f>H1265+H1270</f>
        <v>0</v>
      </c>
    </row>
    <row r="1265" spans="1:8" ht="15">
      <c r="A1265" s="29" t="s">
        <v>1574</v>
      </c>
      <c r="B1265" s="15" t="s">
        <v>98</v>
      </c>
      <c r="C1265" s="15" t="s">
        <v>1624</v>
      </c>
      <c r="D1265" s="25"/>
      <c r="E1265" s="25"/>
      <c r="F1265" s="28">
        <f>F1266+F1271+F1282+F1289+F1290+F1307</f>
        <v>122393.90000000001</v>
      </c>
      <c r="G1265" s="28">
        <f>G1266+G1271+G1282+G1289+G1290+G1307</f>
        <v>122393.90000000001</v>
      </c>
      <c r="H1265" s="28">
        <f>H1266+H1352</f>
        <v>0</v>
      </c>
    </row>
    <row r="1266" spans="1:8" ht="36.75" hidden="1">
      <c r="A1266" s="37" t="s">
        <v>645</v>
      </c>
      <c r="B1266" s="15" t="s">
        <v>98</v>
      </c>
      <c r="C1266" s="15" t="s">
        <v>1624</v>
      </c>
      <c r="D1266" s="15" t="s">
        <v>102</v>
      </c>
      <c r="E1266" s="15"/>
      <c r="F1266" s="17">
        <f>F1267</f>
        <v>0</v>
      </c>
      <c r="G1266" s="17">
        <f>G1267</f>
        <v>0</v>
      </c>
      <c r="H1266" s="28">
        <f>H1267</f>
        <v>0</v>
      </c>
    </row>
    <row r="1267" spans="1:8" ht="36.75" hidden="1">
      <c r="A1267" s="62" t="s">
        <v>1895</v>
      </c>
      <c r="B1267" s="15" t="s">
        <v>98</v>
      </c>
      <c r="C1267" s="15" t="s">
        <v>1624</v>
      </c>
      <c r="D1267" s="15" t="s">
        <v>15</v>
      </c>
      <c r="E1267" s="15" t="s">
        <v>575</v>
      </c>
      <c r="F1267" s="17">
        <f>F1270+F1269</f>
        <v>0</v>
      </c>
      <c r="G1267" s="17">
        <f aca="true" t="shared" si="56" ref="G1267:G1351">F1267-H1267</f>
        <v>0</v>
      </c>
      <c r="H1267" s="18"/>
    </row>
    <row r="1268" spans="1:8" ht="24.75" hidden="1">
      <c r="A1268" s="62" t="s">
        <v>1551</v>
      </c>
      <c r="B1268" s="15" t="s">
        <v>98</v>
      </c>
      <c r="C1268" s="15" t="s">
        <v>1624</v>
      </c>
      <c r="D1268" s="15" t="s">
        <v>15</v>
      </c>
      <c r="E1268" s="15" t="s">
        <v>167</v>
      </c>
      <c r="F1268" s="17"/>
      <c r="G1268" s="17">
        <f t="shared" si="56"/>
        <v>0</v>
      </c>
      <c r="H1268" s="18"/>
    </row>
    <row r="1269" spans="1:8" ht="48.75" hidden="1">
      <c r="A1269" s="62" t="s">
        <v>1142</v>
      </c>
      <c r="B1269" s="15" t="s">
        <v>98</v>
      </c>
      <c r="C1269" s="15" t="s">
        <v>1624</v>
      </c>
      <c r="D1269" s="15" t="s">
        <v>15</v>
      </c>
      <c r="E1269" s="15" t="s">
        <v>167</v>
      </c>
      <c r="F1269" s="18"/>
      <c r="G1269" s="17">
        <f t="shared" si="56"/>
        <v>0</v>
      </c>
      <c r="H1269" s="18"/>
    </row>
    <row r="1270" spans="1:8" ht="36" hidden="1">
      <c r="A1270" s="35" t="s">
        <v>1896</v>
      </c>
      <c r="B1270" s="15" t="s">
        <v>98</v>
      </c>
      <c r="C1270" s="15" t="s">
        <v>1624</v>
      </c>
      <c r="D1270" s="15" t="s">
        <v>15</v>
      </c>
      <c r="E1270" s="15" t="s">
        <v>956</v>
      </c>
      <c r="F1270" s="18"/>
      <c r="G1270" s="17">
        <f t="shared" si="56"/>
        <v>0</v>
      </c>
      <c r="H1270" s="18">
        <f>H1271</f>
        <v>0</v>
      </c>
    </row>
    <row r="1271" spans="1:8" ht="24" hidden="1">
      <c r="A1271" s="30" t="s">
        <v>1438</v>
      </c>
      <c r="B1271" s="15" t="s">
        <v>98</v>
      </c>
      <c r="C1271" s="15" t="s">
        <v>1624</v>
      </c>
      <c r="D1271" s="15" t="s">
        <v>1439</v>
      </c>
      <c r="E1271" s="15"/>
      <c r="F1271" s="17">
        <f>F1272+F1278</f>
        <v>0</v>
      </c>
      <c r="G1271" s="17">
        <f t="shared" si="56"/>
        <v>0</v>
      </c>
      <c r="H1271" s="18">
        <f>H1272</f>
        <v>0</v>
      </c>
    </row>
    <row r="1272" spans="1:8" ht="24.75" hidden="1">
      <c r="A1272" s="16" t="s">
        <v>2002</v>
      </c>
      <c r="B1272" s="15" t="s">
        <v>98</v>
      </c>
      <c r="C1272" s="15" t="s">
        <v>1624</v>
      </c>
      <c r="D1272" s="15" t="s">
        <v>119</v>
      </c>
      <c r="E1272" s="15" t="s">
        <v>575</v>
      </c>
      <c r="F1272" s="17">
        <f>F1273</f>
        <v>0</v>
      </c>
      <c r="G1272" s="17">
        <f t="shared" si="56"/>
        <v>0</v>
      </c>
      <c r="H1272" s="18">
        <f>H1283</f>
        <v>0</v>
      </c>
    </row>
    <row r="1273" spans="1:8" ht="24.75" hidden="1">
      <c r="A1273" s="16" t="s">
        <v>1195</v>
      </c>
      <c r="B1273" s="15" t="s">
        <v>98</v>
      </c>
      <c r="C1273" s="15" t="s">
        <v>1624</v>
      </c>
      <c r="D1273" s="15" t="s">
        <v>119</v>
      </c>
      <c r="E1273" s="15" t="s">
        <v>271</v>
      </c>
      <c r="F1273" s="17">
        <f>F1274+F1275</f>
        <v>0</v>
      </c>
      <c r="G1273" s="17">
        <f t="shared" si="56"/>
        <v>0</v>
      </c>
      <c r="H1273" s="18"/>
    </row>
    <row r="1274" spans="1:8" ht="24.75" hidden="1">
      <c r="A1274" s="16" t="s">
        <v>269</v>
      </c>
      <c r="B1274" s="15" t="s">
        <v>98</v>
      </c>
      <c r="C1274" s="15" t="s">
        <v>1624</v>
      </c>
      <c r="D1274" s="15" t="s">
        <v>119</v>
      </c>
      <c r="E1274" s="15" t="s">
        <v>570</v>
      </c>
      <c r="F1274" s="18"/>
      <c r="G1274" s="17">
        <f t="shared" si="56"/>
        <v>0</v>
      </c>
      <c r="H1274" s="18"/>
    </row>
    <row r="1275" spans="1:8" ht="24.75" hidden="1">
      <c r="A1275" s="16" t="s">
        <v>1025</v>
      </c>
      <c r="B1275" s="15" t="s">
        <v>98</v>
      </c>
      <c r="C1275" s="15" t="s">
        <v>1624</v>
      </c>
      <c r="D1275" s="15" t="s">
        <v>119</v>
      </c>
      <c r="E1275" s="15" t="s">
        <v>180</v>
      </c>
      <c r="F1275" s="17">
        <f>F1276+F1277</f>
        <v>0</v>
      </c>
      <c r="G1275" s="17">
        <f t="shared" si="56"/>
        <v>0</v>
      </c>
      <c r="H1275" s="18"/>
    </row>
    <row r="1276" spans="1:8" ht="24.75" hidden="1">
      <c r="A1276" s="16" t="s">
        <v>555</v>
      </c>
      <c r="B1276" s="15" t="s">
        <v>98</v>
      </c>
      <c r="C1276" s="15" t="s">
        <v>1624</v>
      </c>
      <c r="D1276" s="15" t="s">
        <v>119</v>
      </c>
      <c r="E1276" s="15" t="s">
        <v>180</v>
      </c>
      <c r="F1276" s="18"/>
      <c r="G1276" s="17">
        <f t="shared" si="56"/>
        <v>0</v>
      </c>
      <c r="H1276" s="18"/>
    </row>
    <row r="1277" spans="1:8" ht="24.75" hidden="1">
      <c r="A1277" s="168" t="s">
        <v>435</v>
      </c>
      <c r="B1277" s="15" t="s">
        <v>98</v>
      </c>
      <c r="C1277" s="15" t="s">
        <v>1624</v>
      </c>
      <c r="D1277" s="15" t="s">
        <v>119</v>
      </c>
      <c r="E1277" s="15" t="s">
        <v>180</v>
      </c>
      <c r="F1277" s="18"/>
      <c r="G1277" s="17">
        <f t="shared" si="56"/>
        <v>0</v>
      </c>
      <c r="H1277" s="18"/>
    </row>
    <row r="1278" spans="1:8" ht="24.75" hidden="1">
      <c r="A1278" s="16" t="s">
        <v>1432</v>
      </c>
      <c r="B1278" s="15" t="s">
        <v>98</v>
      </c>
      <c r="C1278" s="15" t="s">
        <v>1624</v>
      </c>
      <c r="D1278" s="15" t="s">
        <v>119</v>
      </c>
      <c r="E1278" s="15" t="s">
        <v>1433</v>
      </c>
      <c r="F1278" s="17">
        <f>F1279+F1280</f>
        <v>0</v>
      </c>
      <c r="G1278" s="17">
        <f t="shared" si="56"/>
        <v>0</v>
      </c>
      <c r="H1278" s="18"/>
    </row>
    <row r="1279" spans="1:8" ht="24.75" hidden="1">
      <c r="A1279" s="16" t="s">
        <v>395</v>
      </c>
      <c r="B1279" s="15" t="s">
        <v>98</v>
      </c>
      <c r="C1279" s="15" t="s">
        <v>1624</v>
      </c>
      <c r="D1279" s="15" t="s">
        <v>119</v>
      </c>
      <c r="E1279" s="15" t="s">
        <v>1434</v>
      </c>
      <c r="F1279" s="18"/>
      <c r="G1279" s="17">
        <f t="shared" si="56"/>
        <v>0</v>
      </c>
      <c r="H1279" s="18"/>
    </row>
    <row r="1280" spans="1:8" ht="24.75" hidden="1">
      <c r="A1280" s="16" t="s">
        <v>556</v>
      </c>
      <c r="B1280" s="15" t="s">
        <v>98</v>
      </c>
      <c r="C1280" s="15" t="s">
        <v>1624</v>
      </c>
      <c r="D1280" s="15" t="s">
        <v>370</v>
      </c>
      <c r="E1280" s="15" t="s">
        <v>1196</v>
      </c>
      <c r="F1280" s="17">
        <f>F1281+F1287+F1288</f>
        <v>0</v>
      </c>
      <c r="G1280" s="17">
        <f t="shared" si="56"/>
        <v>0</v>
      </c>
      <c r="H1280" s="18"/>
    </row>
    <row r="1281" spans="1:8" ht="24.75" hidden="1">
      <c r="A1281" s="16" t="s">
        <v>557</v>
      </c>
      <c r="B1281" s="15" t="s">
        <v>98</v>
      </c>
      <c r="C1281" s="15" t="s">
        <v>1624</v>
      </c>
      <c r="D1281" s="15" t="s">
        <v>370</v>
      </c>
      <c r="E1281" s="15" t="s">
        <v>1196</v>
      </c>
      <c r="F1281" s="18"/>
      <c r="G1281" s="17">
        <f t="shared" si="56"/>
        <v>0</v>
      </c>
      <c r="H1281" s="18"/>
    </row>
    <row r="1282" spans="1:8" ht="24" hidden="1">
      <c r="A1282" s="30" t="s">
        <v>392</v>
      </c>
      <c r="B1282" s="15" t="s">
        <v>98</v>
      </c>
      <c r="C1282" s="15" t="s">
        <v>1624</v>
      </c>
      <c r="D1282" s="15" t="s">
        <v>120</v>
      </c>
      <c r="E1282" s="15"/>
      <c r="F1282" s="17">
        <f>F1283</f>
        <v>0</v>
      </c>
      <c r="G1282" s="17">
        <f t="shared" si="56"/>
        <v>0</v>
      </c>
      <c r="H1282" s="18"/>
    </row>
    <row r="1283" spans="1:8" ht="24.75" hidden="1">
      <c r="A1283" s="16" t="s">
        <v>1195</v>
      </c>
      <c r="B1283" s="15" t="s">
        <v>98</v>
      </c>
      <c r="C1283" s="15" t="s">
        <v>1624</v>
      </c>
      <c r="D1283" s="15" t="s">
        <v>120</v>
      </c>
      <c r="E1283" s="15" t="s">
        <v>271</v>
      </c>
      <c r="F1283" s="17">
        <f>F1284+F1285</f>
        <v>0</v>
      </c>
      <c r="G1283" s="17">
        <f t="shared" si="56"/>
        <v>0</v>
      </c>
      <c r="H1283" s="18"/>
    </row>
    <row r="1284" spans="1:8" ht="24.75" hidden="1">
      <c r="A1284" s="16" t="s">
        <v>269</v>
      </c>
      <c r="B1284" s="15" t="s">
        <v>98</v>
      </c>
      <c r="C1284" s="15" t="s">
        <v>1624</v>
      </c>
      <c r="D1284" s="15" t="s">
        <v>120</v>
      </c>
      <c r="E1284" s="15" t="s">
        <v>570</v>
      </c>
      <c r="F1284" s="18"/>
      <c r="G1284" s="17">
        <f t="shared" si="56"/>
        <v>0</v>
      </c>
      <c r="H1284" s="18"/>
    </row>
    <row r="1285" spans="1:8" ht="24.75" hidden="1">
      <c r="A1285" s="16" t="s">
        <v>850</v>
      </c>
      <c r="B1285" s="15" t="s">
        <v>98</v>
      </c>
      <c r="C1285" s="15" t="s">
        <v>1624</v>
      </c>
      <c r="D1285" s="15" t="s">
        <v>120</v>
      </c>
      <c r="E1285" s="15" t="s">
        <v>180</v>
      </c>
      <c r="F1285" s="17">
        <f>F1286</f>
        <v>0</v>
      </c>
      <c r="G1285" s="17">
        <f t="shared" si="56"/>
        <v>0</v>
      </c>
      <c r="H1285" s="18"/>
    </row>
    <row r="1286" spans="1:8" ht="24.75" hidden="1">
      <c r="A1286" s="16" t="s">
        <v>393</v>
      </c>
      <c r="B1286" s="15" t="s">
        <v>98</v>
      </c>
      <c r="C1286" s="15" t="s">
        <v>1624</v>
      </c>
      <c r="D1286" s="15" t="s">
        <v>394</v>
      </c>
      <c r="E1286" s="15" t="s">
        <v>180</v>
      </c>
      <c r="F1286" s="18">
        <f>2000-2000</f>
        <v>0</v>
      </c>
      <c r="G1286" s="17">
        <f t="shared" si="56"/>
        <v>0</v>
      </c>
      <c r="H1286" s="18"/>
    </row>
    <row r="1287" spans="1:8" ht="24.75" hidden="1">
      <c r="A1287" s="16" t="s">
        <v>272</v>
      </c>
      <c r="B1287" s="15" t="s">
        <v>98</v>
      </c>
      <c r="C1287" s="15" t="s">
        <v>1624</v>
      </c>
      <c r="D1287" s="15" t="s">
        <v>370</v>
      </c>
      <c r="E1287" s="15" t="s">
        <v>1196</v>
      </c>
      <c r="F1287" s="18"/>
      <c r="G1287" s="17">
        <f t="shared" si="56"/>
        <v>0</v>
      </c>
      <c r="H1287" s="18"/>
    </row>
    <row r="1288" spans="1:8" ht="24.75" hidden="1">
      <c r="A1288" s="16" t="s">
        <v>273</v>
      </c>
      <c r="B1288" s="15" t="s">
        <v>98</v>
      </c>
      <c r="C1288" s="15" t="s">
        <v>1624</v>
      </c>
      <c r="D1288" s="15" t="s">
        <v>370</v>
      </c>
      <c r="E1288" s="15" t="s">
        <v>1196</v>
      </c>
      <c r="F1288" s="18"/>
      <c r="G1288" s="17">
        <f t="shared" si="56"/>
        <v>0</v>
      </c>
      <c r="H1288" s="18"/>
    </row>
    <row r="1289" spans="1:8" ht="24">
      <c r="A1289" s="159" t="s">
        <v>1148</v>
      </c>
      <c r="B1289" s="170" t="s">
        <v>98</v>
      </c>
      <c r="C1289" s="171" t="s">
        <v>1624</v>
      </c>
      <c r="D1289" s="15" t="s">
        <v>1149</v>
      </c>
      <c r="E1289" s="15"/>
      <c r="F1289" s="17">
        <f>F1297+F1301</f>
        <v>7655.3</v>
      </c>
      <c r="G1289" s="17">
        <f t="shared" si="56"/>
        <v>7655.3</v>
      </c>
      <c r="H1289" s="18"/>
    </row>
    <row r="1290" spans="1:8" ht="36" hidden="1">
      <c r="A1290" s="169" t="s">
        <v>352</v>
      </c>
      <c r="B1290" s="15" t="s">
        <v>98</v>
      </c>
      <c r="C1290" s="15" t="s">
        <v>1624</v>
      </c>
      <c r="D1290" s="15" t="s">
        <v>353</v>
      </c>
      <c r="E1290" s="15" t="s">
        <v>575</v>
      </c>
      <c r="F1290" s="17">
        <f>F1291+F1293</f>
        <v>0</v>
      </c>
      <c r="G1290" s="17">
        <f t="shared" si="56"/>
        <v>0</v>
      </c>
      <c r="H1290" s="18"/>
    </row>
    <row r="1291" spans="1:8" ht="24.75" hidden="1">
      <c r="A1291" s="168" t="s">
        <v>835</v>
      </c>
      <c r="B1291" s="15" t="s">
        <v>98</v>
      </c>
      <c r="C1291" s="15" t="s">
        <v>1624</v>
      </c>
      <c r="D1291" s="15" t="s">
        <v>353</v>
      </c>
      <c r="E1291" s="15" t="s">
        <v>180</v>
      </c>
      <c r="F1291" s="17">
        <f>F1292</f>
        <v>0</v>
      </c>
      <c r="G1291" s="17">
        <f t="shared" si="56"/>
        <v>0</v>
      </c>
      <c r="H1291" s="18"/>
    </row>
    <row r="1292" spans="1:8" ht="24.75" hidden="1">
      <c r="A1292" s="16" t="s">
        <v>836</v>
      </c>
      <c r="B1292" s="15" t="s">
        <v>98</v>
      </c>
      <c r="C1292" s="15" t="s">
        <v>1624</v>
      </c>
      <c r="D1292" s="15" t="s">
        <v>353</v>
      </c>
      <c r="E1292" s="15" t="s">
        <v>180</v>
      </c>
      <c r="F1292" s="17"/>
      <c r="G1292" s="17">
        <f t="shared" si="56"/>
        <v>0</v>
      </c>
      <c r="H1292" s="18"/>
    </row>
    <row r="1293" spans="1:8" ht="24.75" hidden="1">
      <c r="A1293" s="16" t="s">
        <v>556</v>
      </c>
      <c r="B1293" s="15" t="s">
        <v>98</v>
      </c>
      <c r="C1293" s="15" t="s">
        <v>1624</v>
      </c>
      <c r="D1293" s="15" t="s">
        <v>353</v>
      </c>
      <c r="E1293" s="15" t="s">
        <v>1196</v>
      </c>
      <c r="F1293" s="17">
        <f>F1294+F1295+F1296</f>
        <v>0</v>
      </c>
      <c r="G1293" s="17">
        <f t="shared" si="56"/>
        <v>0</v>
      </c>
      <c r="H1293" s="18"/>
    </row>
    <row r="1294" spans="1:8" ht="36" hidden="1">
      <c r="A1294" s="16" t="s">
        <v>141</v>
      </c>
      <c r="B1294" s="15" t="s">
        <v>98</v>
      </c>
      <c r="C1294" s="15" t="s">
        <v>1624</v>
      </c>
      <c r="D1294" s="15" t="s">
        <v>353</v>
      </c>
      <c r="E1294" s="15" t="s">
        <v>1196</v>
      </c>
      <c r="F1294" s="17"/>
      <c r="G1294" s="17">
        <f t="shared" si="56"/>
        <v>0</v>
      </c>
      <c r="H1294" s="18"/>
    </row>
    <row r="1295" spans="1:8" ht="36" hidden="1">
      <c r="A1295" s="16" t="s">
        <v>721</v>
      </c>
      <c r="B1295" s="170" t="s">
        <v>98</v>
      </c>
      <c r="C1295" s="171" t="s">
        <v>1624</v>
      </c>
      <c r="D1295" s="171" t="s">
        <v>353</v>
      </c>
      <c r="E1295" s="171" t="s">
        <v>1196</v>
      </c>
      <c r="F1295" s="17"/>
      <c r="G1295" s="17">
        <f t="shared" si="56"/>
        <v>0</v>
      </c>
      <c r="H1295" s="18"/>
    </row>
    <row r="1296" spans="1:8" ht="36" hidden="1">
      <c r="A1296" s="16" t="s">
        <v>722</v>
      </c>
      <c r="B1296" s="170" t="s">
        <v>98</v>
      </c>
      <c r="C1296" s="171" t="s">
        <v>1624</v>
      </c>
      <c r="D1296" s="171" t="s">
        <v>353</v>
      </c>
      <c r="E1296" s="171" t="s">
        <v>1196</v>
      </c>
      <c r="F1296" s="17"/>
      <c r="G1296" s="17">
        <f t="shared" si="56"/>
        <v>0</v>
      </c>
      <c r="H1296" s="18"/>
    </row>
    <row r="1297" spans="1:8" ht="48">
      <c r="A1297" s="35" t="s">
        <v>145</v>
      </c>
      <c r="B1297" s="170" t="s">
        <v>98</v>
      </c>
      <c r="C1297" s="171" t="s">
        <v>1624</v>
      </c>
      <c r="D1297" s="171" t="s">
        <v>143</v>
      </c>
      <c r="E1297" s="171"/>
      <c r="F1297" s="17">
        <f>F1298</f>
        <v>5300</v>
      </c>
      <c r="G1297" s="17">
        <f t="shared" si="56"/>
        <v>5300</v>
      </c>
      <c r="H1297" s="18"/>
    </row>
    <row r="1298" spans="1:8" ht="36">
      <c r="A1298" s="35" t="s">
        <v>352</v>
      </c>
      <c r="B1298" s="170" t="s">
        <v>98</v>
      </c>
      <c r="C1298" s="171" t="s">
        <v>1624</v>
      </c>
      <c r="D1298" s="171" t="s">
        <v>353</v>
      </c>
      <c r="E1298" s="171" t="s">
        <v>575</v>
      </c>
      <c r="F1298" s="17">
        <f>F1299+F1300</f>
        <v>5300</v>
      </c>
      <c r="G1298" s="17">
        <f t="shared" si="56"/>
        <v>5300</v>
      </c>
      <c r="H1298" s="18"/>
    </row>
    <row r="1299" spans="1:8" ht="24">
      <c r="A1299" s="16" t="s">
        <v>1537</v>
      </c>
      <c r="B1299" s="170" t="s">
        <v>98</v>
      </c>
      <c r="C1299" s="171" t="s">
        <v>1624</v>
      </c>
      <c r="D1299" s="171" t="s">
        <v>353</v>
      </c>
      <c r="E1299" s="171" t="s">
        <v>180</v>
      </c>
      <c r="F1299" s="77">
        <f>4000+1000</f>
        <v>5000</v>
      </c>
      <c r="G1299" s="17">
        <f t="shared" si="56"/>
        <v>5000</v>
      </c>
      <c r="H1299" s="18"/>
    </row>
    <row r="1300" spans="1:8" ht="24">
      <c r="A1300" s="16" t="s">
        <v>673</v>
      </c>
      <c r="B1300" s="170" t="s">
        <v>98</v>
      </c>
      <c r="C1300" s="171" t="s">
        <v>1624</v>
      </c>
      <c r="D1300" s="171" t="s">
        <v>353</v>
      </c>
      <c r="E1300" s="171" t="s">
        <v>1196</v>
      </c>
      <c r="F1300" s="77">
        <v>300</v>
      </c>
      <c r="G1300" s="17">
        <f t="shared" si="56"/>
        <v>300</v>
      </c>
      <c r="H1300" s="18"/>
    </row>
    <row r="1301" spans="1:8" ht="48">
      <c r="A1301" s="35" t="s">
        <v>310</v>
      </c>
      <c r="B1301" s="170" t="s">
        <v>98</v>
      </c>
      <c r="C1301" s="171" t="s">
        <v>1624</v>
      </c>
      <c r="D1301" s="15" t="s">
        <v>789</v>
      </c>
      <c r="E1301" s="15"/>
      <c r="F1301" s="17">
        <f>F1302</f>
        <v>2355.3</v>
      </c>
      <c r="G1301" s="17">
        <f t="shared" si="56"/>
        <v>2355.3</v>
      </c>
      <c r="H1301" s="18"/>
    </row>
    <row r="1302" spans="1:8" ht="72">
      <c r="A1302" s="35" t="s">
        <v>790</v>
      </c>
      <c r="B1302" s="170" t="s">
        <v>98</v>
      </c>
      <c r="C1302" s="171" t="s">
        <v>1624</v>
      </c>
      <c r="D1302" s="15" t="s">
        <v>791</v>
      </c>
      <c r="E1302" s="15" t="s">
        <v>575</v>
      </c>
      <c r="F1302" s="17">
        <f>F1303+F1305</f>
        <v>2355.3</v>
      </c>
      <c r="G1302" s="17">
        <f t="shared" si="56"/>
        <v>2355.3</v>
      </c>
      <c r="H1302" s="18"/>
    </row>
    <row r="1303" spans="1:8" ht="24">
      <c r="A1303" s="16" t="s">
        <v>270</v>
      </c>
      <c r="B1303" s="170" t="s">
        <v>98</v>
      </c>
      <c r="C1303" s="171" t="s">
        <v>1624</v>
      </c>
      <c r="D1303" s="15" t="s">
        <v>791</v>
      </c>
      <c r="E1303" s="15" t="s">
        <v>271</v>
      </c>
      <c r="F1303" s="17">
        <f>F1304</f>
        <v>806</v>
      </c>
      <c r="G1303" s="17">
        <f t="shared" si="56"/>
        <v>806</v>
      </c>
      <c r="H1303" s="18"/>
    </row>
    <row r="1304" spans="1:8" ht="24">
      <c r="A1304" s="16" t="s">
        <v>269</v>
      </c>
      <c r="B1304" s="170" t="s">
        <v>98</v>
      </c>
      <c r="C1304" s="171" t="s">
        <v>1624</v>
      </c>
      <c r="D1304" s="15" t="s">
        <v>791</v>
      </c>
      <c r="E1304" s="15" t="s">
        <v>570</v>
      </c>
      <c r="F1304" s="18">
        <v>806</v>
      </c>
      <c r="G1304" s="17">
        <f t="shared" si="56"/>
        <v>806</v>
      </c>
      <c r="H1304" s="18"/>
    </row>
    <row r="1305" spans="1:8" ht="24">
      <c r="A1305" s="16" t="s">
        <v>396</v>
      </c>
      <c r="B1305" s="170" t="s">
        <v>98</v>
      </c>
      <c r="C1305" s="171" t="s">
        <v>1624</v>
      </c>
      <c r="D1305" s="15" t="s">
        <v>791</v>
      </c>
      <c r="E1305" s="15" t="s">
        <v>1433</v>
      </c>
      <c r="F1305" s="17">
        <f>F1306</f>
        <v>1549.3</v>
      </c>
      <c r="G1305" s="17">
        <f t="shared" si="56"/>
        <v>1549.3</v>
      </c>
      <c r="H1305" s="18"/>
    </row>
    <row r="1306" spans="1:8" ht="24">
      <c r="A1306" s="16" t="s">
        <v>395</v>
      </c>
      <c r="B1306" s="170" t="s">
        <v>98</v>
      </c>
      <c r="C1306" s="171" t="s">
        <v>1624</v>
      </c>
      <c r="D1306" s="15" t="s">
        <v>791</v>
      </c>
      <c r="E1306" s="15" t="s">
        <v>1434</v>
      </c>
      <c r="F1306" s="18">
        <v>1549.3</v>
      </c>
      <c r="G1306" s="17">
        <f t="shared" si="56"/>
        <v>1549.3</v>
      </c>
      <c r="H1306" s="18"/>
    </row>
    <row r="1307" spans="1:8" ht="24">
      <c r="A1307" s="31" t="s">
        <v>1664</v>
      </c>
      <c r="B1307" s="15" t="s">
        <v>98</v>
      </c>
      <c r="C1307" s="15" t="s">
        <v>1624</v>
      </c>
      <c r="D1307" s="15" t="s">
        <v>1663</v>
      </c>
      <c r="E1307" s="15"/>
      <c r="F1307" s="17">
        <f>F1308</f>
        <v>114738.6</v>
      </c>
      <c r="G1307" s="17">
        <f t="shared" si="56"/>
        <v>114738.6</v>
      </c>
      <c r="H1307" s="18"/>
    </row>
    <row r="1308" spans="1:8" ht="36">
      <c r="A1308" s="16" t="s">
        <v>918</v>
      </c>
      <c r="B1308" s="15" t="s">
        <v>98</v>
      </c>
      <c r="C1308" s="15" t="s">
        <v>1624</v>
      </c>
      <c r="D1308" s="15" t="s">
        <v>525</v>
      </c>
      <c r="E1308" s="15" t="s">
        <v>575</v>
      </c>
      <c r="F1308" s="17">
        <f>F1309+F1322</f>
        <v>114738.6</v>
      </c>
      <c r="G1308" s="17">
        <f t="shared" si="56"/>
        <v>114738.6</v>
      </c>
      <c r="H1308" s="18"/>
    </row>
    <row r="1309" spans="1:8" ht="24">
      <c r="A1309" s="16" t="s">
        <v>1195</v>
      </c>
      <c r="B1309" s="15" t="s">
        <v>98</v>
      </c>
      <c r="C1309" s="15" t="s">
        <v>1624</v>
      </c>
      <c r="D1309" s="15" t="s">
        <v>525</v>
      </c>
      <c r="E1309" s="15" t="s">
        <v>271</v>
      </c>
      <c r="F1309" s="17">
        <f>F1310+F1311</f>
        <v>31634.3</v>
      </c>
      <c r="G1309" s="17">
        <f t="shared" si="56"/>
        <v>31634.3</v>
      </c>
      <c r="H1309" s="18"/>
    </row>
    <row r="1310" spans="1:8" ht="24">
      <c r="A1310" s="16" t="s">
        <v>269</v>
      </c>
      <c r="B1310" s="15" t="s">
        <v>98</v>
      </c>
      <c r="C1310" s="15" t="s">
        <v>1624</v>
      </c>
      <c r="D1310" s="15" t="s">
        <v>525</v>
      </c>
      <c r="E1310" s="15" t="s">
        <v>570</v>
      </c>
      <c r="F1310" s="18">
        <f>26216+806</f>
        <v>27022</v>
      </c>
      <c r="G1310" s="17">
        <f t="shared" si="56"/>
        <v>27022</v>
      </c>
      <c r="H1310" s="18"/>
    </row>
    <row r="1311" spans="1:8" ht="24">
      <c r="A1311" s="16" t="s">
        <v>1025</v>
      </c>
      <c r="B1311" s="15" t="s">
        <v>98</v>
      </c>
      <c r="C1311" s="15" t="s">
        <v>1624</v>
      </c>
      <c r="D1311" s="15" t="s">
        <v>525</v>
      </c>
      <c r="E1311" s="15" t="s">
        <v>180</v>
      </c>
      <c r="F1311" s="17">
        <f>F1312+F1313+F1315+F1316+F1317+F1318+F1319+F1320+F1321+F1314</f>
        <v>4612.3</v>
      </c>
      <c r="G1311" s="17">
        <f t="shared" si="56"/>
        <v>4612.3</v>
      </c>
      <c r="H1311" s="18"/>
    </row>
    <row r="1312" spans="1:8" ht="28.5" customHeight="1">
      <c r="A1312" s="16" t="s">
        <v>919</v>
      </c>
      <c r="B1312" s="15" t="s">
        <v>98</v>
      </c>
      <c r="C1312" s="15" t="s">
        <v>1624</v>
      </c>
      <c r="D1312" s="15" t="s">
        <v>525</v>
      </c>
      <c r="E1312" s="15" t="s">
        <v>180</v>
      </c>
      <c r="F1312" s="18">
        <f>3060+100-80-4-100-70</f>
        <v>2906</v>
      </c>
      <c r="G1312" s="17">
        <f t="shared" si="56"/>
        <v>2906</v>
      </c>
      <c r="H1312" s="18"/>
    </row>
    <row r="1313" spans="1:8" ht="38.25" customHeight="1">
      <c r="A1313" s="16" t="s">
        <v>1473</v>
      </c>
      <c r="B1313" s="15" t="s">
        <v>98</v>
      </c>
      <c r="C1313" s="15" t="s">
        <v>1624</v>
      </c>
      <c r="D1313" s="15" t="s">
        <v>525</v>
      </c>
      <c r="E1313" s="15" t="s">
        <v>180</v>
      </c>
      <c r="F1313" s="18">
        <f>80+4</f>
        <v>84</v>
      </c>
      <c r="G1313" s="17">
        <f t="shared" si="56"/>
        <v>84</v>
      </c>
      <c r="H1313" s="18"/>
    </row>
    <row r="1314" spans="1:8" ht="38.25" customHeight="1">
      <c r="A1314" s="16" t="s">
        <v>1474</v>
      </c>
      <c r="B1314" s="15" t="s">
        <v>98</v>
      </c>
      <c r="C1314" s="15" t="s">
        <v>1624</v>
      </c>
      <c r="D1314" s="15" t="s">
        <v>525</v>
      </c>
      <c r="E1314" s="15" t="s">
        <v>180</v>
      </c>
      <c r="F1314" s="18">
        <v>50</v>
      </c>
      <c r="G1314" s="17">
        <f t="shared" si="56"/>
        <v>50</v>
      </c>
      <c r="H1314" s="18"/>
    </row>
    <row r="1315" spans="1:8" ht="38.25" customHeight="1">
      <c r="A1315" s="16" t="s">
        <v>1927</v>
      </c>
      <c r="B1315" s="15" t="s">
        <v>98</v>
      </c>
      <c r="C1315" s="15" t="s">
        <v>1624</v>
      </c>
      <c r="D1315" s="15" t="s">
        <v>525</v>
      </c>
      <c r="E1315" s="15" t="s">
        <v>180</v>
      </c>
      <c r="F1315" s="18">
        <v>100</v>
      </c>
      <c r="G1315" s="17">
        <f>F1315-H1315</f>
        <v>100</v>
      </c>
      <c r="H1315" s="18"/>
    </row>
    <row r="1316" spans="1:8" ht="38.25" customHeight="1">
      <c r="A1316" s="16" t="s">
        <v>1928</v>
      </c>
      <c r="B1316" s="15" t="s">
        <v>98</v>
      </c>
      <c r="C1316" s="15" t="s">
        <v>1624</v>
      </c>
      <c r="D1316" s="15" t="s">
        <v>525</v>
      </c>
      <c r="E1316" s="15" t="s">
        <v>180</v>
      </c>
      <c r="F1316" s="18">
        <v>70</v>
      </c>
      <c r="G1316" s="17">
        <f>F1316-H1316</f>
        <v>70</v>
      </c>
      <c r="H1316" s="18"/>
    </row>
    <row r="1317" spans="1:8" ht="48">
      <c r="A1317" s="16" t="s">
        <v>653</v>
      </c>
      <c r="B1317" s="15" t="s">
        <v>98</v>
      </c>
      <c r="C1317" s="15" t="s">
        <v>1624</v>
      </c>
      <c r="D1317" s="15" t="s">
        <v>525</v>
      </c>
      <c r="E1317" s="15" t="s">
        <v>180</v>
      </c>
      <c r="F1317" s="18">
        <v>794</v>
      </c>
      <c r="G1317" s="17">
        <f t="shared" si="56"/>
        <v>794</v>
      </c>
      <c r="H1317" s="18"/>
    </row>
    <row r="1318" spans="1:8" ht="24">
      <c r="A1318" s="16" t="s">
        <v>674</v>
      </c>
      <c r="B1318" s="15" t="s">
        <v>98</v>
      </c>
      <c r="C1318" s="15" t="s">
        <v>1624</v>
      </c>
      <c r="D1318" s="15" t="s">
        <v>525</v>
      </c>
      <c r="E1318" s="15" t="s">
        <v>180</v>
      </c>
      <c r="F1318" s="18">
        <v>358.3</v>
      </c>
      <c r="G1318" s="17">
        <f t="shared" si="56"/>
        <v>358.3</v>
      </c>
      <c r="H1318" s="18"/>
    </row>
    <row r="1319" spans="1:8" ht="24">
      <c r="A1319" s="16" t="s">
        <v>1998</v>
      </c>
      <c r="B1319" s="15" t="s">
        <v>98</v>
      </c>
      <c r="C1319" s="15" t="s">
        <v>1624</v>
      </c>
      <c r="D1319" s="15" t="s">
        <v>525</v>
      </c>
      <c r="E1319" s="15" t="s">
        <v>180</v>
      </c>
      <c r="F1319" s="18">
        <v>100</v>
      </c>
      <c r="G1319" s="17">
        <f t="shared" si="56"/>
        <v>100</v>
      </c>
      <c r="H1319" s="18"/>
    </row>
    <row r="1320" spans="1:8" ht="24">
      <c r="A1320" s="16" t="s">
        <v>786</v>
      </c>
      <c r="B1320" s="15" t="s">
        <v>98</v>
      </c>
      <c r="C1320" s="15" t="s">
        <v>1624</v>
      </c>
      <c r="D1320" s="15" t="s">
        <v>525</v>
      </c>
      <c r="E1320" s="15" t="s">
        <v>180</v>
      </c>
      <c r="F1320" s="18">
        <v>150</v>
      </c>
      <c r="G1320" s="17">
        <f t="shared" si="56"/>
        <v>150</v>
      </c>
      <c r="H1320" s="18"/>
    </row>
    <row r="1321" spans="1:8" ht="36" hidden="1">
      <c r="A1321" s="16" t="s">
        <v>161</v>
      </c>
      <c r="B1321" s="15" t="s">
        <v>98</v>
      </c>
      <c r="C1321" s="15" t="s">
        <v>1624</v>
      </c>
      <c r="D1321" s="15" t="s">
        <v>525</v>
      </c>
      <c r="E1321" s="15" t="s">
        <v>180</v>
      </c>
      <c r="F1321" s="18">
        <v>0</v>
      </c>
      <c r="G1321" s="17">
        <f t="shared" si="56"/>
        <v>0</v>
      </c>
      <c r="H1321" s="18"/>
    </row>
    <row r="1322" spans="1:8" ht="24">
      <c r="A1322" s="16" t="s">
        <v>1432</v>
      </c>
      <c r="B1322" s="15" t="s">
        <v>98</v>
      </c>
      <c r="C1322" s="15" t="s">
        <v>1624</v>
      </c>
      <c r="D1322" s="15" t="s">
        <v>525</v>
      </c>
      <c r="E1322" s="15" t="s">
        <v>1433</v>
      </c>
      <c r="F1322" s="17">
        <f>F1323+F1324</f>
        <v>83104.3</v>
      </c>
      <c r="G1322" s="17">
        <f t="shared" si="56"/>
        <v>83104.3</v>
      </c>
      <c r="H1322" s="18"/>
    </row>
    <row r="1323" spans="1:8" ht="24">
      <c r="A1323" s="16" t="s">
        <v>395</v>
      </c>
      <c r="B1323" s="15" t="s">
        <v>98</v>
      </c>
      <c r="C1323" s="15" t="s">
        <v>1624</v>
      </c>
      <c r="D1323" s="15" t="s">
        <v>525</v>
      </c>
      <c r="E1323" s="15" t="s">
        <v>1434</v>
      </c>
      <c r="F1323" s="18">
        <f>77501-1000-620+1549.3+1844</f>
        <v>79274.3</v>
      </c>
      <c r="G1323" s="17">
        <f t="shared" si="56"/>
        <v>79274.3</v>
      </c>
      <c r="H1323" s="18"/>
    </row>
    <row r="1324" spans="1:8" ht="24">
      <c r="A1324" s="16" t="s">
        <v>556</v>
      </c>
      <c r="B1324" s="15" t="s">
        <v>98</v>
      </c>
      <c r="C1324" s="15" t="s">
        <v>1624</v>
      </c>
      <c r="D1324" s="15" t="s">
        <v>525</v>
      </c>
      <c r="E1324" s="15" t="s">
        <v>1196</v>
      </c>
      <c r="F1324" s="17">
        <f>F1327+F1328+F1331+F1325+F1326+F1329+F1330+F1332</f>
        <v>3830</v>
      </c>
      <c r="G1324" s="17">
        <f t="shared" si="56"/>
        <v>3830</v>
      </c>
      <c r="H1324" s="18"/>
    </row>
    <row r="1325" spans="1:8" ht="36">
      <c r="A1325" s="16" t="s">
        <v>1662</v>
      </c>
      <c r="B1325" s="15" t="s">
        <v>98</v>
      </c>
      <c r="C1325" s="15" t="s">
        <v>1624</v>
      </c>
      <c r="D1325" s="15" t="s">
        <v>525</v>
      </c>
      <c r="E1325" s="15" t="s">
        <v>1196</v>
      </c>
      <c r="F1325" s="18">
        <v>220</v>
      </c>
      <c r="G1325" s="17">
        <f t="shared" si="56"/>
        <v>220</v>
      </c>
      <c r="H1325" s="18"/>
    </row>
    <row r="1326" spans="1:8" ht="36">
      <c r="A1326" s="16" t="s">
        <v>491</v>
      </c>
      <c r="B1326" s="15" t="s">
        <v>98</v>
      </c>
      <c r="C1326" s="15" t="s">
        <v>1624</v>
      </c>
      <c r="D1326" s="15" t="s">
        <v>525</v>
      </c>
      <c r="E1326" s="15" t="s">
        <v>1196</v>
      </c>
      <c r="F1326" s="18">
        <f>400-140</f>
        <v>260</v>
      </c>
      <c r="G1326" s="17">
        <f t="shared" si="56"/>
        <v>260</v>
      </c>
      <c r="H1326" s="18"/>
    </row>
    <row r="1327" spans="1:8" ht="24">
      <c r="A1327" s="16" t="s">
        <v>237</v>
      </c>
      <c r="B1327" s="15" t="s">
        <v>98</v>
      </c>
      <c r="C1327" s="15" t="s">
        <v>1624</v>
      </c>
      <c r="D1327" s="15" t="s">
        <v>525</v>
      </c>
      <c r="E1327" s="15" t="s">
        <v>1196</v>
      </c>
      <c r="F1327" s="18">
        <f>1000+250</f>
        <v>1250</v>
      </c>
      <c r="G1327" s="17">
        <f t="shared" si="56"/>
        <v>1250</v>
      </c>
      <c r="H1327" s="18"/>
    </row>
    <row r="1328" spans="1:8" ht="24">
      <c r="A1328" s="16" t="s">
        <v>920</v>
      </c>
      <c r="B1328" s="15" t="s">
        <v>98</v>
      </c>
      <c r="C1328" s="15" t="s">
        <v>1624</v>
      </c>
      <c r="D1328" s="15" t="s">
        <v>525</v>
      </c>
      <c r="E1328" s="15" t="s">
        <v>1196</v>
      </c>
      <c r="F1328" s="18">
        <f>300+400-220-80</f>
        <v>400</v>
      </c>
      <c r="G1328" s="17">
        <f t="shared" si="56"/>
        <v>400</v>
      </c>
      <c r="H1328" s="18"/>
    </row>
    <row r="1329" spans="1:8" ht="36">
      <c r="A1329" s="16" t="s">
        <v>434</v>
      </c>
      <c r="B1329" s="15" t="s">
        <v>98</v>
      </c>
      <c r="C1329" s="15" t="s">
        <v>1624</v>
      </c>
      <c r="D1329" s="15" t="s">
        <v>525</v>
      </c>
      <c r="E1329" s="15" t="s">
        <v>1196</v>
      </c>
      <c r="F1329" s="18">
        <v>220</v>
      </c>
      <c r="G1329" s="17">
        <f t="shared" si="56"/>
        <v>220</v>
      </c>
      <c r="H1329" s="18"/>
    </row>
    <row r="1330" spans="1:12" ht="36">
      <c r="A1330" s="16" t="s">
        <v>1355</v>
      </c>
      <c r="B1330" s="15" t="s">
        <v>98</v>
      </c>
      <c r="C1330" s="15" t="s">
        <v>1624</v>
      </c>
      <c r="D1330" s="15" t="s">
        <v>525</v>
      </c>
      <c r="E1330" s="15" t="s">
        <v>1196</v>
      </c>
      <c r="F1330" s="18">
        <v>320</v>
      </c>
      <c r="G1330" s="17">
        <f t="shared" si="56"/>
        <v>320</v>
      </c>
      <c r="H1330" s="18"/>
      <c r="K1330" s="74"/>
      <c r="L1330" s="74"/>
    </row>
    <row r="1331" spans="1:12" ht="24">
      <c r="A1331" s="16" t="s">
        <v>369</v>
      </c>
      <c r="B1331" s="15" t="s">
        <v>98</v>
      </c>
      <c r="C1331" s="15" t="s">
        <v>1624</v>
      </c>
      <c r="D1331" s="15" t="s">
        <v>1166</v>
      </c>
      <c r="E1331" s="15" t="s">
        <v>1196</v>
      </c>
      <c r="F1331" s="18">
        <f>700+210+350-592.9-100</f>
        <v>567.1</v>
      </c>
      <c r="G1331" s="17">
        <f t="shared" si="56"/>
        <v>567.1</v>
      </c>
      <c r="H1331" s="18"/>
      <c r="L1331" s="74"/>
    </row>
    <row r="1332" spans="1:8" ht="24">
      <c r="A1332" s="16" t="s">
        <v>828</v>
      </c>
      <c r="B1332" s="15" t="s">
        <v>98</v>
      </c>
      <c r="C1332" s="15" t="s">
        <v>1624</v>
      </c>
      <c r="D1332" s="15" t="s">
        <v>1166</v>
      </c>
      <c r="E1332" s="15" t="s">
        <v>1196</v>
      </c>
      <c r="F1332" s="18">
        <v>592.9</v>
      </c>
      <c r="G1332" s="17">
        <f>F1332-H1332</f>
        <v>592.9</v>
      </c>
      <c r="H1332" s="18"/>
    </row>
    <row r="1333" spans="1:8" ht="15.75">
      <c r="A1333" s="75" t="s">
        <v>1572</v>
      </c>
      <c r="B1333" s="15" t="s">
        <v>1655</v>
      </c>
      <c r="C1333" s="15"/>
      <c r="D1333" s="15"/>
      <c r="E1333" s="15"/>
      <c r="F1333" s="76">
        <f>F1334+F1338</f>
        <v>19829.3</v>
      </c>
      <c r="G1333" s="76">
        <f t="shared" si="56"/>
        <v>19829.3</v>
      </c>
      <c r="H1333" s="18"/>
    </row>
    <row r="1334" spans="1:8" ht="15">
      <c r="A1334" s="120" t="s">
        <v>711</v>
      </c>
      <c r="B1334" s="15" t="s">
        <v>1655</v>
      </c>
      <c r="C1334" s="15" t="s">
        <v>1624</v>
      </c>
      <c r="D1334" s="19"/>
      <c r="E1334" s="19"/>
      <c r="F1334" s="17">
        <f>F1335</f>
        <v>10388</v>
      </c>
      <c r="G1334" s="17">
        <f t="shared" si="56"/>
        <v>10388</v>
      </c>
      <c r="H1334" s="18"/>
    </row>
    <row r="1335" spans="1:8" ht="15">
      <c r="A1335" s="30" t="s">
        <v>1631</v>
      </c>
      <c r="B1335" s="15" t="s">
        <v>1655</v>
      </c>
      <c r="C1335" s="15" t="s">
        <v>1624</v>
      </c>
      <c r="D1335" s="15" t="s">
        <v>505</v>
      </c>
      <c r="E1335" s="15"/>
      <c r="F1335" s="17">
        <f>F1336</f>
        <v>10388</v>
      </c>
      <c r="G1335" s="17">
        <f t="shared" si="56"/>
        <v>10388</v>
      </c>
      <c r="H1335" s="18"/>
    </row>
    <row r="1336" spans="1:8" ht="24">
      <c r="A1336" s="16" t="s">
        <v>47</v>
      </c>
      <c r="B1336" s="15" t="s">
        <v>1655</v>
      </c>
      <c r="C1336" s="15" t="s">
        <v>1624</v>
      </c>
      <c r="D1336" s="15" t="s">
        <v>48</v>
      </c>
      <c r="E1336" s="15" t="s">
        <v>575</v>
      </c>
      <c r="F1336" s="17">
        <f>F1337</f>
        <v>10388</v>
      </c>
      <c r="G1336" s="17">
        <f t="shared" si="56"/>
        <v>10388</v>
      </c>
      <c r="H1336" s="18"/>
    </row>
    <row r="1337" spans="1:8" ht="48">
      <c r="A1337" s="35" t="s">
        <v>700</v>
      </c>
      <c r="B1337" s="15" t="s">
        <v>1655</v>
      </c>
      <c r="C1337" s="15" t="s">
        <v>1624</v>
      </c>
      <c r="D1337" s="15" t="s">
        <v>48</v>
      </c>
      <c r="E1337" s="15" t="s">
        <v>737</v>
      </c>
      <c r="F1337" s="18">
        <v>10388</v>
      </c>
      <c r="G1337" s="17">
        <f t="shared" si="56"/>
        <v>10388</v>
      </c>
      <c r="H1337" s="18"/>
    </row>
    <row r="1338" spans="1:8" ht="24">
      <c r="A1338" s="40" t="s">
        <v>712</v>
      </c>
      <c r="B1338" s="15" t="s">
        <v>1655</v>
      </c>
      <c r="C1338" s="15" t="s">
        <v>923</v>
      </c>
      <c r="D1338" s="15"/>
      <c r="E1338" s="15"/>
      <c r="F1338" s="17">
        <f>F1339</f>
        <v>9441.3</v>
      </c>
      <c r="G1338" s="17">
        <f t="shared" si="56"/>
        <v>9441.3</v>
      </c>
      <c r="H1338" s="18"/>
    </row>
    <row r="1339" spans="1:8" ht="24">
      <c r="A1339" s="36" t="s">
        <v>706</v>
      </c>
      <c r="B1339" s="15" t="s">
        <v>1655</v>
      </c>
      <c r="C1339" s="15" t="s">
        <v>923</v>
      </c>
      <c r="D1339" s="15" t="s">
        <v>707</v>
      </c>
      <c r="E1339" s="15"/>
      <c r="F1339" s="17">
        <f>F1340</f>
        <v>9441.3</v>
      </c>
      <c r="G1339" s="17">
        <f t="shared" si="56"/>
        <v>9441.3</v>
      </c>
      <c r="H1339" s="18"/>
    </row>
    <row r="1340" spans="1:8" ht="36">
      <c r="A1340" s="16" t="s">
        <v>1440</v>
      </c>
      <c r="B1340" s="15" t="s">
        <v>1655</v>
      </c>
      <c r="C1340" s="15" t="s">
        <v>923</v>
      </c>
      <c r="D1340" s="15" t="s">
        <v>1441</v>
      </c>
      <c r="E1340" s="15" t="s">
        <v>575</v>
      </c>
      <c r="F1340" s="17">
        <f>F1341+F1342</f>
        <v>9441.3</v>
      </c>
      <c r="G1340" s="17">
        <f t="shared" si="56"/>
        <v>9441.3</v>
      </c>
      <c r="H1340" s="18"/>
    </row>
    <row r="1341" spans="1:8" ht="24.75" hidden="1">
      <c r="A1341" s="16" t="s">
        <v>1365</v>
      </c>
      <c r="B1341" s="15" t="s">
        <v>1655</v>
      </c>
      <c r="C1341" s="15" t="s">
        <v>923</v>
      </c>
      <c r="D1341" s="15" t="s">
        <v>665</v>
      </c>
      <c r="E1341" s="15" t="s">
        <v>1366</v>
      </c>
      <c r="F1341" s="18">
        <v>0</v>
      </c>
      <c r="G1341" s="17">
        <f t="shared" si="56"/>
        <v>0</v>
      </c>
      <c r="H1341" s="18"/>
    </row>
    <row r="1342" spans="1:8" ht="48">
      <c r="A1342" s="35" t="s">
        <v>700</v>
      </c>
      <c r="B1342" s="15" t="s">
        <v>1655</v>
      </c>
      <c r="C1342" s="15" t="s">
        <v>923</v>
      </c>
      <c r="D1342" s="15" t="s">
        <v>1441</v>
      </c>
      <c r="E1342" s="15" t="s">
        <v>737</v>
      </c>
      <c r="F1342" s="18">
        <v>9441.3</v>
      </c>
      <c r="G1342" s="17">
        <f t="shared" si="56"/>
        <v>9441.3</v>
      </c>
      <c r="H1342" s="18"/>
    </row>
    <row r="1343" spans="1:8" ht="24">
      <c r="A1343" s="29" t="s">
        <v>163</v>
      </c>
      <c r="B1343" s="15" t="s">
        <v>714</v>
      </c>
      <c r="C1343" s="15" t="s">
        <v>1646</v>
      </c>
      <c r="D1343" s="15"/>
      <c r="E1343" s="15"/>
      <c r="F1343" s="76">
        <f>F1344</f>
        <v>100071</v>
      </c>
      <c r="G1343" s="76">
        <f t="shared" si="56"/>
        <v>100071</v>
      </c>
      <c r="H1343" s="18"/>
    </row>
    <row r="1344" spans="1:8" ht="24">
      <c r="A1344" s="30" t="s">
        <v>1571</v>
      </c>
      <c r="B1344" s="15" t="s">
        <v>714</v>
      </c>
      <c r="C1344" s="15" t="s">
        <v>1624</v>
      </c>
      <c r="D1344" s="15" t="s">
        <v>983</v>
      </c>
      <c r="E1344" s="15"/>
      <c r="F1344" s="17">
        <f>F1346+F1347</f>
        <v>100071</v>
      </c>
      <c r="G1344" s="17">
        <f t="shared" si="56"/>
        <v>100071</v>
      </c>
      <c r="H1344" s="18"/>
    </row>
    <row r="1345" spans="1:8" ht="15.75" hidden="1">
      <c r="A1345" s="16"/>
      <c r="B1345" s="15"/>
      <c r="C1345" s="15"/>
      <c r="D1345" s="15"/>
      <c r="E1345" s="15"/>
      <c r="F1345" s="17"/>
      <c r="G1345" s="17">
        <f t="shared" si="56"/>
        <v>0</v>
      </c>
      <c r="H1345" s="18"/>
    </row>
    <row r="1346" spans="1:8" ht="24.75" hidden="1">
      <c r="A1346" s="16" t="s">
        <v>999</v>
      </c>
      <c r="B1346" s="15" t="s">
        <v>714</v>
      </c>
      <c r="C1346" s="15" t="s">
        <v>1624</v>
      </c>
      <c r="D1346" s="15" t="s">
        <v>749</v>
      </c>
      <c r="E1346" s="15" t="s">
        <v>1000</v>
      </c>
      <c r="F1346" s="18">
        <f>30000-10000-3000-17000</f>
        <v>0</v>
      </c>
      <c r="G1346" s="17">
        <f t="shared" si="56"/>
        <v>0</v>
      </c>
      <c r="H1346" s="18"/>
    </row>
    <row r="1347" spans="1:8" ht="48">
      <c r="A1347" s="16" t="s">
        <v>31</v>
      </c>
      <c r="B1347" s="15" t="s">
        <v>714</v>
      </c>
      <c r="C1347" s="15" t="s">
        <v>1624</v>
      </c>
      <c r="D1347" s="15" t="s">
        <v>749</v>
      </c>
      <c r="E1347" s="15" t="s">
        <v>504</v>
      </c>
      <c r="F1347" s="18">
        <f>90071+10000</f>
        <v>100071</v>
      </c>
      <c r="G1347" s="17">
        <f t="shared" si="56"/>
        <v>100071</v>
      </c>
      <c r="H1347" s="18"/>
    </row>
    <row r="1348" spans="1:8" ht="63.75">
      <c r="A1348" s="22" t="s">
        <v>899</v>
      </c>
      <c r="B1348" s="19" t="s">
        <v>1143</v>
      </c>
      <c r="C1348" s="19"/>
      <c r="D1348" s="19"/>
      <c r="E1348" s="19"/>
      <c r="F1348" s="76">
        <f>F1349</f>
        <v>103496</v>
      </c>
      <c r="G1348" s="76">
        <f t="shared" si="56"/>
        <v>103496</v>
      </c>
      <c r="H1348" s="18"/>
    </row>
    <row r="1349" spans="1:8" ht="24">
      <c r="A1349" s="29" t="s">
        <v>659</v>
      </c>
      <c r="B1349" s="15" t="s">
        <v>1143</v>
      </c>
      <c r="C1349" s="15" t="s">
        <v>1653</v>
      </c>
      <c r="D1349" s="15"/>
      <c r="E1349" s="15"/>
      <c r="F1349" s="17">
        <f>F1350</f>
        <v>103496</v>
      </c>
      <c r="G1349" s="17">
        <f t="shared" si="56"/>
        <v>103496</v>
      </c>
      <c r="H1349" s="18"/>
    </row>
    <row r="1350" spans="1:8" ht="48">
      <c r="A1350" s="35" t="s">
        <v>1113</v>
      </c>
      <c r="B1350" s="15" t="s">
        <v>1143</v>
      </c>
      <c r="C1350" s="15" t="s">
        <v>1653</v>
      </c>
      <c r="D1350" s="15" t="s">
        <v>1114</v>
      </c>
      <c r="E1350" s="15" t="s">
        <v>575</v>
      </c>
      <c r="F1350" s="17">
        <f>F1351</f>
        <v>103496</v>
      </c>
      <c r="G1350" s="17">
        <f t="shared" si="56"/>
        <v>103496</v>
      </c>
      <c r="H1350" s="18"/>
    </row>
    <row r="1351" spans="1:8" ht="48">
      <c r="A1351" s="35" t="s">
        <v>445</v>
      </c>
      <c r="B1351" s="15" t="s">
        <v>1143</v>
      </c>
      <c r="C1351" s="15" t="s">
        <v>1653</v>
      </c>
      <c r="D1351" s="15" t="s">
        <v>1114</v>
      </c>
      <c r="E1351" s="15" t="s">
        <v>446</v>
      </c>
      <c r="F1351" s="18">
        <v>103496</v>
      </c>
      <c r="G1351" s="17">
        <f t="shared" si="56"/>
        <v>103496</v>
      </c>
      <c r="H1351" s="18"/>
    </row>
    <row r="1352" spans="1:8" ht="28.5" customHeight="1">
      <c r="A1352" s="388" t="s">
        <v>431</v>
      </c>
      <c r="B1352" s="389"/>
      <c r="C1352" s="389"/>
      <c r="D1352" s="389"/>
      <c r="E1352" s="389"/>
      <c r="F1352" s="389"/>
      <c r="G1352" s="389"/>
      <c r="H1352" s="389"/>
    </row>
    <row r="1353" spans="1:8" ht="15">
      <c r="A1353" s="107"/>
      <c r="G1353" s="14"/>
      <c r="H1353" s="14"/>
    </row>
    <row r="1354" spans="7:8" ht="15">
      <c r="G1354" s="14"/>
      <c r="H1354" s="14"/>
    </row>
    <row r="1355" spans="7:8" ht="15">
      <c r="G1355" s="14"/>
      <c r="H1355" s="14"/>
    </row>
    <row r="1356" spans="7:8" ht="15">
      <c r="G1356" s="14"/>
      <c r="H1356" s="14"/>
    </row>
    <row r="1357" spans="7:8" ht="15">
      <c r="G1357" s="14"/>
      <c r="H1357" s="14"/>
    </row>
    <row r="1358" spans="7:8" ht="15">
      <c r="G1358" s="14"/>
      <c r="H1358" s="14"/>
    </row>
    <row r="1359" spans="7:8" ht="15">
      <c r="G1359" s="14"/>
      <c r="H1359" s="14"/>
    </row>
    <row r="1360" spans="7:8" ht="15">
      <c r="G1360" s="14"/>
      <c r="H1360" s="14"/>
    </row>
    <row r="1361" spans="7:8" ht="15">
      <c r="G1361" s="14"/>
      <c r="H1361" s="14"/>
    </row>
    <row r="1362" spans="7:8" ht="15">
      <c r="G1362" s="14"/>
      <c r="H1362" s="14"/>
    </row>
    <row r="1363" spans="7:8" ht="15">
      <c r="G1363" s="14"/>
      <c r="H1363" s="14"/>
    </row>
    <row r="1364" spans="7:8" ht="15">
      <c r="G1364" s="14"/>
      <c r="H1364" s="14"/>
    </row>
    <row r="1365" spans="7:8" ht="15">
      <c r="G1365" s="14"/>
      <c r="H1365" s="14"/>
    </row>
    <row r="1366" spans="7:8" ht="50.25" customHeight="1">
      <c r="G1366" s="14"/>
      <c r="H1366" s="14"/>
    </row>
    <row r="1367" spans="7:8" ht="15">
      <c r="G1367" s="14"/>
      <c r="H1367" s="14"/>
    </row>
    <row r="1368" spans="7:8" ht="15">
      <c r="G1368" s="14"/>
      <c r="H1368" s="14"/>
    </row>
    <row r="1369" spans="7:8" ht="15">
      <c r="G1369" s="14"/>
      <c r="H1369" s="14"/>
    </row>
    <row r="1370" spans="7:8" ht="15">
      <c r="G1370" s="14"/>
      <c r="H1370" s="14"/>
    </row>
    <row r="1371" spans="7:8" ht="15">
      <c r="G1371" s="14"/>
      <c r="H1371" s="14"/>
    </row>
    <row r="1372" spans="7:8" ht="15">
      <c r="G1372" s="14"/>
      <c r="H1372" s="14"/>
    </row>
    <row r="1373" spans="7:8" ht="15">
      <c r="G1373" s="14"/>
      <c r="H1373" s="14"/>
    </row>
    <row r="1374" spans="7:8" ht="15">
      <c r="G1374" s="14"/>
      <c r="H1374" s="14"/>
    </row>
    <row r="1375" spans="7:8" ht="15">
      <c r="G1375" s="14"/>
      <c r="H1375" s="14"/>
    </row>
    <row r="1376" spans="7:8" ht="15">
      <c r="G1376" s="14"/>
      <c r="H1376" s="14"/>
    </row>
    <row r="1377" spans="7:8" ht="15">
      <c r="G1377" s="14"/>
      <c r="H1377" s="14"/>
    </row>
    <row r="1378" spans="7:8" ht="18" customHeight="1">
      <c r="G1378" s="14"/>
      <c r="H1378" s="14"/>
    </row>
    <row r="1379" spans="7:8" ht="15">
      <c r="G1379" s="14"/>
      <c r="H1379" s="14"/>
    </row>
    <row r="1380" spans="7:8" ht="15">
      <c r="G1380" s="14"/>
      <c r="H1380" s="14"/>
    </row>
    <row r="1381" spans="7:8" ht="15">
      <c r="G1381" s="14"/>
      <c r="H1381" s="14"/>
    </row>
    <row r="1382" spans="7:8" ht="15">
      <c r="G1382" s="14"/>
      <c r="H1382" s="14"/>
    </row>
    <row r="1383" spans="7:8" ht="15">
      <c r="G1383" s="14"/>
      <c r="H1383" s="14"/>
    </row>
    <row r="1384" spans="7:8" ht="15">
      <c r="G1384" s="14"/>
      <c r="H1384" s="14"/>
    </row>
    <row r="1385" spans="7:8" ht="15">
      <c r="G1385" s="14"/>
      <c r="H1385" s="14"/>
    </row>
    <row r="1386" spans="7:8" ht="15">
      <c r="G1386" s="14"/>
      <c r="H1386" s="14"/>
    </row>
    <row r="1387" spans="7:8" ht="15">
      <c r="G1387" s="14"/>
      <c r="H1387" s="14"/>
    </row>
    <row r="1388" spans="7:8" ht="15">
      <c r="G1388" s="14"/>
      <c r="H1388" s="14"/>
    </row>
    <row r="1389" spans="7:8" ht="15">
      <c r="G1389" s="14"/>
      <c r="H1389" s="14"/>
    </row>
    <row r="1390" spans="7:8" ht="15">
      <c r="G1390" s="14"/>
      <c r="H1390" s="14"/>
    </row>
    <row r="1391" spans="7:8" ht="15">
      <c r="G1391" s="14"/>
      <c r="H1391" s="14"/>
    </row>
    <row r="1392" spans="7:8" ht="15">
      <c r="G1392" s="14"/>
      <c r="H1392" s="14"/>
    </row>
    <row r="1393" spans="7:8" ht="15">
      <c r="G1393" s="14"/>
      <c r="H1393" s="14"/>
    </row>
    <row r="1394" spans="7:8" ht="15">
      <c r="G1394" s="14"/>
      <c r="H1394" s="14"/>
    </row>
    <row r="1395" spans="7:8" ht="15">
      <c r="G1395" s="14"/>
      <c r="H1395" s="14"/>
    </row>
    <row r="1396" spans="7:8" ht="15">
      <c r="G1396" s="14"/>
      <c r="H1396" s="14"/>
    </row>
    <row r="1397" spans="7:8" ht="15">
      <c r="G1397" s="14"/>
      <c r="H1397" s="14"/>
    </row>
    <row r="1398" spans="7:8" ht="15">
      <c r="G1398" s="14"/>
      <c r="H1398" s="14"/>
    </row>
    <row r="1399" spans="7:8" ht="15">
      <c r="G1399" s="14"/>
      <c r="H1399" s="14"/>
    </row>
    <row r="1400" spans="7:8" ht="15">
      <c r="G1400" s="14"/>
      <c r="H1400" s="14"/>
    </row>
    <row r="1401" spans="7:8" ht="15">
      <c r="G1401" s="14"/>
      <c r="H1401" s="14"/>
    </row>
    <row r="1402" spans="7:8" ht="15">
      <c r="G1402" s="14"/>
      <c r="H1402" s="14"/>
    </row>
    <row r="1403" spans="7:8" ht="15">
      <c r="G1403" s="14"/>
      <c r="H1403" s="14"/>
    </row>
    <row r="1404" spans="7:8" ht="15">
      <c r="G1404" s="14"/>
      <c r="H1404" s="14"/>
    </row>
    <row r="1405" spans="7:8" ht="15">
      <c r="G1405" s="14"/>
      <c r="H1405" s="14"/>
    </row>
    <row r="1406" spans="7:8" ht="15">
      <c r="G1406" s="14"/>
      <c r="H1406" s="14"/>
    </row>
    <row r="1407" spans="7:8" ht="15">
      <c r="G1407" s="14"/>
      <c r="H1407" s="14"/>
    </row>
    <row r="1408" spans="7:8" ht="15">
      <c r="G1408" s="14"/>
      <c r="H1408" s="14"/>
    </row>
    <row r="1409" spans="7:8" ht="15">
      <c r="G1409" s="14"/>
      <c r="H1409" s="14"/>
    </row>
    <row r="1410" spans="7:8" ht="15">
      <c r="G1410" s="14"/>
      <c r="H1410" s="14"/>
    </row>
    <row r="1411" spans="7:8" ht="15">
      <c r="G1411" s="14"/>
      <c r="H1411" s="14"/>
    </row>
    <row r="1412" spans="7:8" ht="15">
      <c r="G1412" s="14"/>
      <c r="H1412" s="14"/>
    </row>
    <row r="1413" spans="7:8" ht="15">
      <c r="G1413" s="14"/>
      <c r="H1413" s="14"/>
    </row>
    <row r="1414" spans="7:8" ht="15">
      <c r="G1414" s="14"/>
      <c r="H1414" s="14"/>
    </row>
    <row r="1415" spans="7:8" ht="15">
      <c r="G1415" s="14"/>
      <c r="H1415" s="14"/>
    </row>
    <row r="1416" spans="7:8" ht="15">
      <c r="G1416" s="14"/>
      <c r="H1416" s="14"/>
    </row>
    <row r="1417" spans="7:8" ht="15">
      <c r="G1417" s="14"/>
      <c r="H1417" s="14"/>
    </row>
    <row r="1418" spans="7:8" ht="15">
      <c r="G1418" s="14"/>
      <c r="H1418" s="14"/>
    </row>
    <row r="1419" spans="7:8" ht="15">
      <c r="G1419" s="14"/>
      <c r="H1419" s="14"/>
    </row>
    <row r="1420" spans="7:8" ht="15">
      <c r="G1420" s="14"/>
      <c r="H1420" s="14"/>
    </row>
    <row r="1421" spans="7:8" ht="15">
      <c r="G1421" s="14"/>
      <c r="H1421" s="14"/>
    </row>
    <row r="1422" spans="7:8" ht="15">
      <c r="G1422" s="14"/>
      <c r="H1422" s="14"/>
    </row>
    <row r="1423" spans="7:8" ht="15">
      <c r="G1423" s="14"/>
      <c r="H1423" s="14"/>
    </row>
    <row r="1424" spans="7:8" ht="15">
      <c r="G1424" s="14"/>
      <c r="H1424" s="14"/>
    </row>
    <row r="1425" spans="7:8" ht="15">
      <c r="G1425" s="14"/>
      <c r="H1425" s="14"/>
    </row>
    <row r="1426" spans="7:8" ht="15">
      <c r="G1426" s="14"/>
      <c r="H1426" s="14"/>
    </row>
    <row r="1427" spans="7:8" ht="15">
      <c r="G1427" s="14"/>
      <c r="H1427" s="14"/>
    </row>
    <row r="1428" spans="7:8" ht="15">
      <c r="G1428" s="14"/>
      <c r="H1428" s="14"/>
    </row>
    <row r="1429" spans="7:8" ht="15">
      <c r="G1429" s="14"/>
      <c r="H1429" s="14"/>
    </row>
    <row r="1430" spans="7:8" ht="15">
      <c r="G1430" s="14"/>
      <c r="H1430" s="14"/>
    </row>
    <row r="1431" spans="7:8" ht="15">
      <c r="G1431" s="14"/>
      <c r="H1431" s="14"/>
    </row>
    <row r="1432" spans="7:8" ht="15">
      <c r="G1432" s="14"/>
      <c r="H1432" s="14"/>
    </row>
    <row r="1433" spans="7:8" ht="15">
      <c r="G1433" s="14"/>
      <c r="H1433" s="14"/>
    </row>
    <row r="1434" spans="7:8" ht="15">
      <c r="G1434" s="14"/>
      <c r="H1434" s="14"/>
    </row>
    <row r="1435" spans="7:8" ht="15">
      <c r="G1435" s="14"/>
      <c r="H1435" s="14"/>
    </row>
    <row r="1436" spans="7:8" ht="15">
      <c r="G1436" s="14"/>
      <c r="H1436" s="14"/>
    </row>
    <row r="1437" spans="7:8" ht="15">
      <c r="G1437" s="14"/>
      <c r="H1437" s="14"/>
    </row>
    <row r="1438" spans="7:8" ht="15">
      <c r="G1438" s="14"/>
      <c r="H1438" s="14"/>
    </row>
    <row r="1439" spans="7:8" ht="15">
      <c r="G1439" s="14"/>
      <c r="H1439" s="14"/>
    </row>
    <row r="1440" spans="7:8" ht="15">
      <c r="G1440" s="14"/>
      <c r="H1440" s="14"/>
    </row>
    <row r="1441" spans="7:8" ht="15">
      <c r="G1441" s="14"/>
      <c r="H1441" s="14"/>
    </row>
    <row r="1442" spans="7:8" ht="15">
      <c r="G1442" s="14"/>
      <c r="H1442" s="14"/>
    </row>
    <row r="1443" spans="7:8" ht="15">
      <c r="G1443" s="14"/>
      <c r="H1443" s="14"/>
    </row>
    <row r="1444" spans="7:8" ht="15">
      <c r="G1444" s="14"/>
      <c r="H1444" s="14"/>
    </row>
    <row r="1445" spans="7:8" ht="15">
      <c r="G1445" s="14"/>
      <c r="H1445" s="14"/>
    </row>
    <row r="1446" spans="7:8" ht="15">
      <c r="G1446" s="14"/>
      <c r="H1446" s="14"/>
    </row>
    <row r="1447" spans="7:8" ht="15">
      <c r="G1447" s="14"/>
      <c r="H1447" s="14"/>
    </row>
    <row r="1448" spans="7:8" ht="15">
      <c r="G1448" s="14"/>
      <c r="H1448" s="14"/>
    </row>
    <row r="1449" spans="7:8" ht="15">
      <c r="G1449" s="14"/>
      <c r="H1449" s="14"/>
    </row>
    <row r="1450" spans="7:8" ht="15">
      <c r="G1450" s="14"/>
      <c r="H1450" s="14"/>
    </row>
    <row r="1451" spans="7:8" ht="15">
      <c r="G1451" s="14"/>
      <c r="H1451" s="14"/>
    </row>
    <row r="1452" spans="7:8" ht="15">
      <c r="G1452" s="14"/>
      <c r="H1452" s="14"/>
    </row>
    <row r="1453" spans="7:8" ht="15">
      <c r="G1453" s="14"/>
      <c r="H1453" s="14"/>
    </row>
    <row r="1454" spans="7:8" ht="15">
      <c r="G1454" s="14"/>
      <c r="H1454" s="14"/>
    </row>
    <row r="1455" spans="7:8" ht="15">
      <c r="G1455" s="14"/>
      <c r="H1455" s="14"/>
    </row>
    <row r="1456" spans="7:8" ht="15">
      <c r="G1456" s="14"/>
      <c r="H1456" s="14"/>
    </row>
    <row r="1457" spans="7:8" ht="15">
      <c r="G1457" s="14"/>
      <c r="H1457" s="14"/>
    </row>
    <row r="1458" spans="7:8" ht="15">
      <c r="G1458" s="14"/>
      <c r="H1458" s="14"/>
    </row>
    <row r="1459" spans="7:8" ht="15">
      <c r="G1459" s="14"/>
      <c r="H1459" s="14"/>
    </row>
    <row r="1460" spans="7:8" ht="15">
      <c r="G1460" s="14"/>
      <c r="H1460" s="14"/>
    </row>
    <row r="1461" spans="7:8" ht="15">
      <c r="G1461" s="14"/>
      <c r="H1461" s="14"/>
    </row>
    <row r="1462" spans="7:8" ht="15">
      <c r="G1462" s="14"/>
      <c r="H1462" s="14"/>
    </row>
    <row r="1463" spans="7:8" ht="15">
      <c r="G1463" s="14"/>
      <c r="H1463" s="14"/>
    </row>
    <row r="1464" spans="7:8" ht="15">
      <c r="G1464" s="14"/>
      <c r="H1464" s="14"/>
    </row>
    <row r="1465" spans="7:8" ht="15">
      <c r="G1465" s="14"/>
      <c r="H1465" s="14"/>
    </row>
    <row r="1466" spans="7:8" ht="15">
      <c r="G1466" s="14"/>
      <c r="H1466" s="14"/>
    </row>
    <row r="1467" spans="7:8" ht="15">
      <c r="G1467" s="14"/>
      <c r="H1467" s="14"/>
    </row>
    <row r="1468" spans="7:8" ht="15">
      <c r="G1468" s="14"/>
      <c r="H1468" s="14"/>
    </row>
    <row r="1469" spans="7:8" ht="15">
      <c r="G1469" s="14"/>
      <c r="H1469" s="14"/>
    </row>
    <row r="1470" spans="7:8" ht="15">
      <c r="G1470" s="14"/>
      <c r="H1470" s="14"/>
    </row>
    <row r="1471" spans="7:8" ht="15">
      <c r="G1471" s="14"/>
      <c r="H1471" s="14"/>
    </row>
    <row r="1472" spans="7:8" ht="15">
      <c r="G1472" s="14"/>
      <c r="H1472" s="14"/>
    </row>
    <row r="1473" spans="7:8" ht="15">
      <c r="G1473" s="14"/>
      <c r="H1473" s="14"/>
    </row>
    <row r="1474" spans="7:8" ht="15">
      <c r="G1474" s="14"/>
      <c r="H1474" s="14"/>
    </row>
    <row r="1475" spans="7:8" ht="15">
      <c r="G1475" s="14"/>
      <c r="H1475" s="14"/>
    </row>
    <row r="1476" spans="7:8" ht="15">
      <c r="G1476" s="14"/>
      <c r="H1476" s="14"/>
    </row>
    <row r="1477" spans="7:8" ht="15">
      <c r="G1477" s="14"/>
      <c r="H1477" s="14"/>
    </row>
    <row r="1478" spans="7:8" ht="15">
      <c r="G1478" s="14"/>
      <c r="H1478" s="14"/>
    </row>
    <row r="1479" spans="7:8" ht="15">
      <c r="G1479" s="14"/>
      <c r="H1479" s="14"/>
    </row>
    <row r="1480" spans="7:8" ht="15">
      <c r="G1480" s="14"/>
      <c r="H1480" s="14"/>
    </row>
    <row r="1481" spans="7:8" ht="15">
      <c r="G1481" s="14"/>
      <c r="H1481" s="14"/>
    </row>
    <row r="1482" spans="7:8" ht="15">
      <c r="G1482" s="14"/>
      <c r="H1482" s="14"/>
    </row>
    <row r="1483" spans="7:8" ht="15">
      <c r="G1483" s="14"/>
      <c r="H1483" s="14"/>
    </row>
    <row r="1484" spans="7:8" ht="15">
      <c r="G1484" s="14"/>
      <c r="H1484" s="14"/>
    </row>
    <row r="1485" spans="7:8" ht="15">
      <c r="G1485" s="14"/>
      <c r="H1485" s="14"/>
    </row>
    <row r="1486" spans="7:8" ht="15">
      <c r="G1486" s="14"/>
      <c r="H1486" s="14"/>
    </row>
    <row r="1487" spans="7:8" ht="15">
      <c r="G1487" s="14"/>
      <c r="H1487" s="14"/>
    </row>
    <row r="1488" spans="7:8" ht="15">
      <c r="G1488" s="14"/>
      <c r="H1488" s="14"/>
    </row>
    <row r="1489" spans="7:8" ht="15">
      <c r="G1489" s="14"/>
      <c r="H1489" s="14"/>
    </row>
    <row r="1490" spans="7:8" ht="15">
      <c r="G1490" s="14"/>
      <c r="H1490" s="14"/>
    </row>
    <row r="1491" spans="7:8" ht="15">
      <c r="G1491" s="14"/>
      <c r="H1491" s="14"/>
    </row>
    <row r="1492" spans="7:8" ht="15">
      <c r="G1492" s="14"/>
      <c r="H1492" s="14"/>
    </row>
    <row r="1493" spans="7:8" ht="15">
      <c r="G1493" s="14"/>
      <c r="H1493" s="14"/>
    </row>
    <row r="1494" spans="7:8" ht="15">
      <c r="G1494" s="14"/>
      <c r="H1494" s="14"/>
    </row>
    <row r="1495" spans="7:8" ht="15">
      <c r="G1495" s="14"/>
      <c r="H1495" s="14"/>
    </row>
    <row r="1496" spans="7:8" ht="15">
      <c r="G1496" s="14"/>
      <c r="H1496" s="14"/>
    </row>
    <row r="1497" spans="7:8" ht="15">
      <c r="G1497" s="14"/>
      <c r="H1497" s="14"/>
    </row>
    <row r="1498" spans="7:8" ht="15">
      <c r="G1498" s="14"/>
      <c r="H1498" s="14"/>
    </row>
    <row r="1499" spans="7:8" ht="15">
      <c r="G1499" s="14"/>
      <c r="H1499" s="14"/>
    </row>
    <row r="1500" spans="7:8" ht="15">
      <c r="G1500" s="14"/>
      <c r="H1500" s="14"/>
    </row>
    <row r="1501" spans="7:8" ht="15">
      <c r="G1501" s="14"/>
      <c r="H1501" s="14"/>
    </row>
    <row r="1502" spans="7:8" ht="15">
      <c r="G1502" s="14"/>
      <c r="H1502" s="14"/>
    </row>
    <row r="1503" spans="7:8" ht="15">
      <c r="G1503" s="14"/>
      <c r="H1503" s="14"/>
    </row>
    <row r="1504" spans="7:8" ht="15">
      <c r="G1504" s="14"/>
      <c r="H1504" s="14"/>
    </row>
    <row r="1505" spans="7:8" ht="15">
      <c r="G1505" s="14"/>
      <c r="H1505" s="14"/>
    </row>
    <row r="1506" spans="7:8" ht="15">
      <c r="G1506" s="14"/>
      <c r="H1506" s="14"/>
    </row>
    <row r="1507" spans="7:8" ht="15">
      <c r="G1507" s="14"/>
      <c r="H1507" s="14"/>
    </row>
    <row r="1508" spans="7:8" ht="15">
      <c r="G1508" s="14"/>
      <c r="H1508" s="14"/>
    </row>
    <row r="1509" spans="7:8" ht="15">
      <c r="G1509" s="14"/>
      <c r="H1509" s="14"/>
    </row>
    <row r="1510" spans="7:8" ht="15">
      <c r="G1510" s="14"/>
      <c r="H1510" s="14"/>
    </row>
    <row r="1511" spans="7:8" ht="15">
      <c r="G1511" s="14"/>
      <c r="H1511" s="14"/>
    </row>
    <row r="1512" spans="7:8" ht="15">
      <c r="G1512" s="14"/>
      <c r="H1512" s="14"/>
    </row>
    <row r="1513" spans="7:8" ht="15">
      <c r="G1513" s="14"/>
      <c r="H1513" s="14"/>
    </row>
    <row r="1514" spans="7:8" ht="15">
      <c r="G1514" s="14"/>
      <c r="H1514" s="14"/>
    </row>
    <row r="1515" spans="7:8" ht="15">
      <c r="G1515" s="14"/>
      <c r="H1515" s="14"/>
    </row>
    <row r="1516" spans="7:8" ht="15">
      <c r="G1516" s="14"/>
      <c r="H1516" s="14"/>
    </row>
    <row r="1517" spans="7:8" ht="15">
      <c r="G1517" s="14"/>
      <c r="H1517" s="14"/>
    </row>
    <row r="1518" spans="7:8" ht="15">
      <c r="G1518" s="14"/>
      <c r="H1518" s="14"/>
    </row>
    <row r="1519" spans="7:8" ht="15">
      <c r="G1519" s="14"/>
      <c r="H1519" s="14"/>
    </row>
    <row r="1520" spans="7:8" ht="15">
      <c r="G1520" s="14"/>
      <c r="H1520" s="14"/>
    </row>
    <row r="1521" spans="7:8" ht="15">
      <c r="G1521" s="14"/>
      <c r="H1521" s="14"/>
    </row>
    <row r="1522" spans="7:8" ht="15">
      <c r="G1522" s="14"/>
      <c r="H1522" s="14"/>
    </row>
    <row r="1523" spans="7:8" ht="15">
      <c r="G1523" s="14"/>
      <c r="H1523" s="14"/>
    </row>
    <row r="1524" spans="7:8" ht="15">
      <c r="G1524" s="14"/>
      <c r="H1524" s="14"/>
    </row>
    <row r="1525" spans="7:8" ht="15">
      <c r="G1525" s="14"/>
      <c r="H1525" s="14"/>
    </row>
    <row r="1526" spans="7:8" ht="15">
      <c r="G1526" s="14"/>
      <c r="H1526" s="14"/>
    </row>
    <row r="1527" spans="7:8" ht="15">
      <c r="G1527" s="14"/>
      <c r="H1527" s="14"/>
    </row>
    <row r="1528" spans="7:8" ht="15">
      <c r="G1528" s="14"/>
      <c r="H1528" s="14"/>
    </row>
    <row r="1529" spans="7:8" ht="15">
      <c r="G1529" s="14"/>
      <c r="H1529" s="14"/>
    </row>
    <row r="1530" spans="7:8" ht="15">
      <c r="G1530" s="14"/>
      <c r="H1530" s="14"/>
    </row>
    <row r="1531" spans="7:8" ht="15">
      <c r="G1531" s="14"/>
      <c r="H1531" s="14"/>
    </row>
    <row r="1532" spans="7:8" ht="15">
      <c r="G1532" s="14"/>
      <c r="H1532" s="14"/>
    </row>
    <row r="1533" spans="7:8" ht="15">
      <c r="G1533" s="14"/>
      <c r="H1533" s="14"/>
    </row>
    <row r="1534" spans="7:8" ht="15">
      <c r="G1534" s="14"/>
      <c r="H1534" s="14"/>
    </row>
    <row r="1535" spans="7:8" ht="15">
      <c r="G1535" s="14"/>
      <c r="H1535" s="14"/>
    </row>
    <row r="1536" spans="7:8" ht="15">
      <c r="G1536" s="14"/>
      <c r="H1536" s="14"/>
    </row>
    <row r="1537" spans="7:8" ht="15">
      <c r="G1537" s="14"/>
      <c r="H1537" s="14"/>
    </row>
    <row r="1538" spans="7:8" ht="15">
      <c r="G1538" s="14"/>
      <c r="H1538" s="14"/>
    </row>
    <row r="1539" spans="7:8" ht="15">
      <c r="G1539" s="14"/>
      <c r="H1539" s="14"/>
    </row>
    <row r="1540" spans="7:8" ht="15">
      <c r="G1540" s="14"/>
      <c r="H1540" s="14"/>
    </row>
    <row r="1541" spans="7:8" ht="15">
      <c r="G1541" s="14"/>
      <c r="H1541" s="14"/>
    </row>
    <row r="1542" spans="7:8" ht="15">
      <c r="G1542" s="14"/>
      <c r="H1542" s="14"/>
    </row>
    <row r="1543" spans="7:8" ht="15">
      <c r="G1543" s="14"/>
      <c r="H1543" s="14"/>
    </row>
    <row r="1544" spans="7:8" ht="15">
      <c r="G1544" s="14"/>
      <c r="H1544" s="14"/>
    </row>
    <row r="1545" spans="7:8" ht="15">
      <c r="G1545" s="14"/>
      <c r="H1545" s="14"/>
    </row>
    <row r="1546" spans="7:8" ht="15">
      <c r="G1546" s="14"/>
      <c r="H1546" s="14"/>
    </row>
    <row r="1547" spans="7:8" ht="15">
      <c r="G1547" s="14"/>
      <c r="H1547" s="14"/>
    </row>
    <row r="1548" spans="7:8" ht="15">
      <c r="G1548" s="14"/>
      <c r="H1548" s="14"/>
    </row>
    <row r="1549" spans="7:8" ht="15">
      <c r="G1549" s="14"/>
      <c r="H1549" s="14"/>
    </row>
    <row r="1550" spans="7:8" ht="15">
      <c r="G1550" s="14"/>
      <c r="H1550" s="14"/>
    </row>
    <row r="1551" spans="7:8" ht="15">
      <c r="G1551" s="14"/>
      <c r="H1551" s="14"/>
    </row>
    <row r="1552" spans="7:8" ht="15">
      <c r="G1552" s="14"/>
      <c r="H1552" s="14"/>
    </row>
    <row r="1553" spans="7:8" ht="15">
      <c r="G1553" s="14"/>
      <c r="H1553" s="14"/>
    </row>
    <row r="1554" spans="7:8" ht="15">
      <c r="G1554" s="14"/>
      <c r="H1554" s="14"/>
    </row>
    <row r="1555" spans="7:8" ht="15">
      <c r="G1555" s="14"/>
      <c r="H1555" s="14"/>
    </row>
    <row r="1556" spans="7:8" ht="15">
      <c r="G1556" s="14"/>
      <c r="H1556" s="14"/>
    </row>
    <row r="1557" spans="7:8" ht="15">
      <c r="G1557" s="14"/>
      <c r="H1557" s="14"/>
    </row>
    <row r="1558" spans="7:8" ht="15">
      <c r="G1558" s="14"/>
      <c r="H1558" s="14"/>
    </row>
    <row r="1559" spans="7:8" ht="15">
      <c r="G1559" s="14"/>
      <c r="H1559" s="14"/>
    </row>
    <row r="1560" spans="7:8" ht="15">
      <c r="G1560" s="14"/>
      <c r="H1560" s="14"/>
    </row>
    <row r="1561" spans="7:8" ht="15">
      <c r="G1561" s="14"/>
      <c r="H1561" s="14"/>
    </row>
    <row r="1562" spans="7:8" ht="15">
      <c r="G1562" s="14"/>
      <c r="H1562" s="14"/>
    </row>
    <row r="1563" spans="7:8" ht="15">
      <c r="G1563" s="14"/>
      <c r="H1563" s="14"/>
    </row>
    <row r="1564" spans="7:8" ht="15">
      <c r="G1564" s="14"/>
      <c r="H1564" s="14"/>
    </row>
    <row r="1565" spans="7:8" ht="15">
      <c r="G1565" s="14"/>
      <c r="H1565" s="14"/>
    </row>
    <row r="1566" spans="7:8" ht="15">
      <c r="G1566" s="14"/>
      <c r="H1566" s="14"/>
    </row>
    <row r="1567" spans="7:8" ht="15">
      <c r="G1567" s="14"/>
      <c r="H1567" s="14"/>
    </row>
    <row r="1568" spans="7:8" ht="15">
      <c r="G1568" s="14"/>
      <c r="H1568" s="14"/>
    </row>
    <row r="1569" spans="7:8" ht="15">
      <c r="G1569" s="14"/>
      <c r="H1569" s="14"/>
    </row>
    <row r="1570" spans="7:8" ht="15">
      <c r="G1570" s="14"/>
      <c r="H1570" s="14"/>
    </row>
    <row r="1571" spans="7:8" ht="15">
      <c r="G1571" s="14"/>
      <c r="H1571" s="14"/>
    </row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</sheetData>
  <sheetProtection selectLockedCells="1" selectUnlockedCells="1"/>
  <mergeCells count="8">
    <mergeCell ref="A1352:H1352"/>
    <mergeCell ref="A11:H11"/>
    <mergeCell ref="A9:H9"/>
    <mergeCell ref="A10:H10"/>
    <mergeCell ref="A13:A14"/>
    <mergeCell ref="B13:E13"/>
    <mergeCell ref="F13:F14"/>
    <mergeCell ref="G13:H13"/>
  </mergeCells>
  <printOptions/>
  <pageMargins left="0.7874015748031497" right="0.54" top="0.5905511811023623" bottom="0.6299212598425197" header="0.3937007874015748" footer="0.3937007874015748"/>
  <pageSetup firstPageNumber="13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C5" sqref="C5"/>
    </sheetView>
  </sheetViews>
  <sheetFormatPr defaultColWidth="38.75390625" defaultRowHeight="12.75"/>
  <cols>
    <col min="1" max="1" width="24.75390625" style="246" customWidth="1"/>
    <col min="2" max="2" width="52.75390625" style="246" customWidth="1"/>
    <col min="3" max="3" width="23.375" style="250" customWidth="1"/>
    <col min="4" max="16384" width="38.75390625" style="246" customWidth="1"/>
  </cols>
  <sheetData>
    <row r="1" ht="12.75">
      <c r="C1" s="247"/>
    </row>
    <row r="2" ht="12.75">
      <c r="C2" s="247"/>
    </row>
    <row r="3" ht="12.75">
      <c r="C3" s="248" t="s">
        <v>1835</v>
      </c>
    </row>
    <row r="4" ht="12.75">
      <c r="C4" s="248" t="s">
        <v>1618</v>
      </c>
    </row>
    <row r="5" ht="12.75">
      <c r="C5" s="113" t="s">
        <v>2046</v>
      </c>
    </row>
    <row r="6" ht="12" customHeight="1">
      <c r="B6" s="249"/>
    </row>
    <row r="7" spans="2:3" ht="12.75">
      <c r="B7" s="251"/>
      <c r="C7" s="8" t="s">
        <v>1204</v>
      </c>
    </row>
    <row r="8" spans="2:3" ht="12.75">
      <c r="B8" s="251"/>
      <c r="C8" s="8" t="s">
        <v>1618</v>
      </c>
    </row>
    <row r="9" spans="2:3" ht="12.75">
      <c r="B9" s="252"/>
      <c r="C9" s="102" t="s">
        <v>1205</v>
      </c>
    </row>
    <row r="10" spans="2:3" ht="12.75">
      <c r="B10" s="249"/>
      <c r="C10" s="112"/>
    </row>
    <row r="11" spans="1:2" ht="12.75">
      <c r="A11" s="209"/>
      <c r="B11" s="253"/>
    </row>
    <row r="12" spans="1:3" ht="15.75">
      <c r="A12" s="405" t="s">
        <v>1206</v>
      </c>
      <c r="B12" s="405"/>
      <c r="C12" s="405"/>
    </row>
    <row r="13" spans="1:3" ht="15.75">
      <c r="A13" s="405" t="s">
        <v>1207</v>
      </c>
      <c r="B13" s="405"/>
      <c r="C13" s="405"/>
    </row>
    <row r="14" spans="1:3" ht="12.75">
      <c r="A14" s="254"/>
      <c r="C14" s="255" t="s">
        <v>1619</v>
      </c>
    </row>
    <row r="15" spans="1:3" ht="51">
      <c r="A15" s="256" t="s">
        <v>21</v>
      </c>
      <c r="B15" s="257" t="s">
        <v>1208</v>
      </c>
      <c r="C15" s="258" t="s">
        <v>1140</v>
      </c>
    </row>
    <row r="16" spans="1:5" ht="18.75" customHeight="1">
      <c r="A16" s="406" t="s">
        <v>1209</v>
      </c>
      <c r="B16" s="407"/>
      <c r="C16" s="259">
        <f>'Приложение 2'!C211-'Приложение 3'!F15</f>
        <v>-409406.1852099998</v>
      </c>
      <c r="D16" s="260"/>
      <c r="E16" s="260"/>
    </row>
    <row r="17" spans="1:3" ht="18.75" customHeight="1" hidden="1">
      <c r="A17" s="408" t="s">
        <v>1210</v>
      </c>
      <c r="B17" s="409"/>
      <c r="C17" s="261">
        <f>(-C16-C37-C29)/'Приложение 2'!C14*100</f>
        <v>0</v>
      </c>
    </row>
    <row r="18" spans="1:3" ht="18" customHeight="1">
      <c r="A18" s="403" t="s">
        <v>1211</v>
      </c>
      <c r="B18" s="404"/>
      <c r="C18" s="262">
        <f>C19+C24+C29+C36+C44</f>
        <v>409406.1852099998</v>
      </c>
    </row>
    <row r="19" spans="1:3" ht="27" customHeight="1" hidden="1">
      <c r="A19" s="263" t="s">
        <v>1212</v>
      </c>
      <c r="B19" s="264" t="s">
        <v>1213</v>
      </c>
      <c r="C19" s="265">
        <f>C20-C22</f>
        <v>0</v>
      </c>
    </row>
    <row r="20" spans="1:3" ht="27.75" customHeight="1" hidden="1">
      <c r="A20" s="266" t="s">
        <v>1214</v>
      </c>
      <c r="B20" s="267" t="s">
        <v>1215</v>
      </c>
      <c r="C20" s="265">
        <f>C21</f>
        <v>0</v>
      </c>
    </row>
    <row r="21" spans="1:3" ht="25.5" hidden="1">
      <c r="A21" s="266" t="s">
        <v>1216</v>
      </c>
      <c r="B21" s="268" t="s">
        <v>1217</v>
      </c>
      <c r="C21" s="269">
        <v>0</v>
      </c>
    </row>
    <row r="22" spans="1:3" ht="25.5" hidden="1">
      <c r="A22" s="266" t="s">
        <v>1218</v>
      </c>
      <c r="B22" s="268" t="s">
        <v>1219</v>
      </c>
      <c r="C22" s="270">
        <f>C23</f>
        <v>0</v>
      </c>
    </row>
    <row r="23" spans="1:3" ht="25.5" hidden="1">
      <c r="A23" s="266" t="s">
        <v>1220</v>
      </c>
      <c r="B23" s="271" t="s">
        <v>1221</v>
      </c>
      <c r="C23" s="272">
        <v>0</v>
      </c>
    </row>
    <row r="24" spans="1:3" s="275" customFormat="1" ht="25.5" hidden="1">
      <c r="A24" s="273" t="s">
        <v>1222</v>
      </c>
      <c r="B24" s="274" t="s">
        <v>1223</v>
      </c>
      <c r="C24" s="270">
        <f>SUM(C25-C27)</f>
        <v>0</v>
      </c>
    </row>
    <row r="25" spans="1:3" ht="38.25" hidden="1">
      <c r="A25" s="266" t="s">
        <v>1224</v>
      </c>
      <c r="B25" s="276" t="s">
        <v>1225</v>
      </c>
      <c r="C25" s="270">
        <f>C26</f>
        <v>0</v>
      </c>
    </row>
    <row r="26" spans="1:3" ht="38.25" hidden="1">
      <c r="A26" s="266" t="s">
        <v>1226</v>
      </c>
      <c r="B26" s="277" t="s">
        <v>1227</v>
      </c>
      <c r="C26" s="272"/>
    </row>
    <row r="27" spans="1:3" ht="38.25" hidden="1">
      <c r="A27" s="266" t="s">
        <v>1228</v>
      </c>
      <c r="B27" s="278" t="s">
        <v>1229</v>
      </c>
      <c r="C27" s="270">
        <f>C28</f>
        <v>0</v>
      </c>
    </row>
    <row r="28" spans="1:3" ht="38.25" hidden="1">
      <c r="A28" s="266" t="s">
        <v>1230</v>
      </c>
      <c r="B28" s="268" t="s">
        <v>1231</v>
      </c>
      <c r="C28" s="272"/>
    </row>
    <row r="29" spans="1:3" s="275" customFormat="1" ht="25.5">
      <c r="A29" s="273" t="s">
        <v>1232</v>
      </c>
      <c r="B29" s="264" t="s">
        <v>1233</v>
      </c>
      <c r="C29" s="279">
        <f>C33-C30</f>
        <v>409406.1852099998</v>
      </c>
    </row>
    <row r="30" spans="1:3" ht="25.5">
      <c r="A30" s="280" t="s">
        <v>1234</v>
      </c>
      <c r="B30" s="276" t="s">
        <v>1235</v>
      </c>
      <c r="C30" s="279">
        <f>C31</f>
        <v>4679150.814790001</v>
      </c>
    </row>
    <row r="31" spans="1:3" ht="25.5">
      <c r="A31" s="280" t="s">
        <v>1236</v>
      </c>
      <c r="B31" s="277" t="s">
        <v>1237</v>
      </c>
      <c r="C31" s="279">
        <f>C32</f>
        <v>4679150.814790001</v>
      </c>
    </row>
    <row r="32" spans="1:3" ht="27.75" customHeight="1">
      <c r="A32" s="280" t="s">
        <v>1238</v>
      </c>
      <c r="B32" s="277" t="s">
        <v>1239</v>
      </c>
      <c r="C32" s="281">
        <f>'Приложение 2'!C211+'Приложение 4'!C20+'Приложение 4'!C25+'Приложение 4'!C37+'Приложение 4'!C45+'Приложение 4'!C50</f>
        <v>4679150.814790001</v>
      </c>
    </row>
    <row r="33" spans="1:3" ht="19.5" customHeight="1">
      <c r="A33" s="282" t="s">
        <v>1240</v>
      </c>
      <c r="B33" s="276" t="s">
        <v>1241</v>
      </c>
      <c r="C33" s="279">
        <f>C34</f>
        <v>5088557.000000001</v>
      </c>
    </row>
    <row r="34" spans="1:3" ht="25.5">
      <c r="A34" s="282" t="s">
        <v>1242</v>
      </c>
      <c r="B34" s="277" t="s">
        <v>1243</v>
      </c>
      <c r="C34" s="279">
        <f>C35</f>
        <v>5088557.000000001</v>
      </c>
    </row>
    <row r="35" spans="1:3" ht="25.5">
      <c r="A35" s="283" t="s">
        <v>1244</v>
      </c>
      <c r="B35" s="284" t="s">
        <v>1245</v>
      </c>
      <c r="C35" s="285">
        <f>'Приложение 3'!F15+'Приложение 4'!C22+'Приложение 4'!C27+'Приложение 4'!C40+'Приложение 4'!C47+'Приложение 4'!C52</f>
        <v>5088557.000000001</v>
      </c>
    </row>
    <row r="36" spans="1:3" ht="25.5" hidden="1">
      <c r="A36" s="286" t="s">
        <v>1246</v>
      </c>
      <c r="B36" s="287" t="s">
        <v>1247</v>
      </c>
      <c r="C36" s="288">
        <f>C37+C40+C44+C49</f>
        <v>0</v>
      </c>
    </row>
    <row r="37" spans="1:3" ht="25.5" hidden="1">
      <c r="A37" s="289" t="s">
        <v>1248</v>
      </c>
      <c r="B37" s="274" t="s">
        <v>1249</v>
      </c>
      <c r="C37" s="290">
        <f>C38</f>
        <v>0</v>
      </c>
    </row>
    <row r="38" spans="1:3" ht="38.25" hidden="1">
      <c r="A38" s="291" t="s">
        <v>1250</v>
      </c>
      <c r="B38" s="276" t="s">
        <v>1251</v>
      </c>
      <c r="C38" s="290">
        <f>C39</f>
        <v>0</v>
      </c>
    </row>
    <row r="39" spans="1:3" ht="25.5" hidden="1">
      <c r="A39" s="291" t="s">
        <v>1252</v>
      </c>
      <c r="B39" s="292" t="s">
        <v>1253</v>
      </c>
      <c r="C39" s="293">
        <v>0</v>
      </c>
    </row>
    <row r="40" spans="1:3" ht="15.75" hidden="1">
      <c r="A40" s="289" t="s">
        <v>1254</v>
      </c>
      <c r="B40" s="274" t="s">
        <v>1255</v>
      </c>
      <c r="C40" s="290">
        <f>C41</f>
        <v>0</v>
      </c>
    </row>
    <row r="41" spans="1:3" ht="25.5" hidden="1">
      <c r="A41" s="289" t="s">
        <v>1256</v>
      </c>
      <c r="B41" s="274" t="s">
        <v>1257</v>
      </c>
      <c r="C41" s="290">
        <f>C42</f>
        <v>0</v>
      </c>
    </row>
    <row r="42" spans="1:5" ht="76.5" hidden="1">
      <c r="A42" s="294" t="s">
        <v>1258</v>
      </c>
      <c r="B42" s="276" t="s">
        <v>1259</v>
      </c>
      <c r="C42" s="290">
        <f>C43</f>
        <v>0</v>
      </c>
      <c r="D42" s="295"/>
      <c r="E42" s="295">
        <f>D42-C42</f>
        <v>0</v>
      </c>
    </row>
    <row r="43" spans="1:3" ht="76.5" hidden="1">
      <c r="A43" s="294" t="s">
        <v>1260</v>
      </c>
      <c r="B43" s="277" t="s">
        <v>1261</v>
      </c>
      <c r="C43" s="293">
        <v>0</v>
      </c>
    </row>
    <row r="44" spans="1:3" s="275" customFormat="1" ht="25.5" hidden="1">
      <c r="A44" s="296" t="s">
        <v>1262</v>
      </c>
      <c r="B44" s="297" t="s">
        <v>1263</v>
      </c>
      <c r="C44" s="298">
        <f>C45-C47</f>
        <v>0</v>
      </c>
    </row>
    <row r="45" spans="1:3" ht="25.5" hidden="1">
      <c r="A45" s="294" t="s">
        <v>1264</v>
      </c>
      <c r="B45" s="299" t="s">
        <v>1265</v>
      </c>
      <c r="C45" s="300">
        <f>C46</f>
        <v>0</v>
      </c>
    </row>
    <row r="46" spans="1:3" ht="38.25" hidden="1">
      <c r="A46" s="294" t="s">
        <v>1266</v>
      </c>
      <c r="B46" s="301" t="s">
        <v>1267</v>
      </c>
      <c r="C46" s="302">
        <v>0</v>
      </c>
    </row>
    <row r="47" spans="1:3" ht="25.5" hidden="1">
      <c r="A47" s="294" t="s">
        <v>1268</v>
      </c>
      <c r="B47" s="299" t="s">
        <v>1269</v>
      </c>
      <c r="C47" s="300">
        <f>C48</f>
        <v>0</v>
      </c>
    </row>
    <row r="48" spans="1:3" ht="25.5" hidden="1">
      <c r="A48" s="294" t="s">
        <v>1270</v>
      </c>
      <c r="B48" s="301" t="s">
        <v>1271</v>
      </c>
      <c r="C48" s="302">
        <v>0</v>
      </c>
    </row>
    <row r="49" spans="1:3" ht="25.5" hidden="1">
      <c r="A49" s="296" t="s">
        <v>1272</v>
      </c>
      <c r="B49" s="303" t="s">
        <v>1273</v>
      </c>
      <c r="C49" s="304">
        <f>C50-C52</f>
        <v>0</v>
      </c>
    </row>
    <row r="50" spans="1:3" ht="25.5" hidden="1">
      <c r="A50" s="294" t="s">
        <v>1274</v>
      </c>
      <c r="B50" s="276" t="s">
        <v>1275</v>
      </c>
      <c r="C50" s="304">
        <f>C51</f>
        <v>0</v>
      </c>
    </row>
    <row r="51" spans="1:3" ht="25.5" hidden="1">
      <c r="A51" s="294" t="s">
        <v>1276</v>
      </c>
      <c r="B51" s="277" t="s">
        <v>1277</v>
      </c>
      <c r="C51" s="304"/>
    </row>
    <row r="52" spans="1:3" ht="25.5" hidden="1">
      <c r="A52" s="294" t="s">
        <v>1278</v>
      </c>
      <c r="B52" s="276" t="s">
        <v>1279</v>
      </c>
      <c r="C52" s="304">
        <f>C53</f>
        <v>0</v>
      </c>
    </row>
    <row r="53" spans="1:3" ht="38.25" hidden="1">
      <c r="A53" s="294" t="s">
        <v>1280</v>
      </c>
      <c r="B53" s="277" t="s">
        <v>1281</v>
      </c>
      <c r="C53" s="305">
        <v>0</v>
      </c>
    </row>
    <row r="54" spans="1:3" ht="15">
      <c r="A54" s="306"/>
      <c r="B54" s="307"/>
      <c r="C54" s="308"/>
    </row>
    <row r="55" spans="1:3" ht="15">
      <c r="A55" s="309"/>
      <c r="B55" s="310"/>
      <c r="C55" s="308"/>
    </row>
  </sheetData>
  <sheetProtection/>
  <mergeCells count="5">
    <mergeCell ref="A18:B18"/>
    <mergeCell ref="A12:C12"/>
    <mergeCell ref="A13:C13"/>
    <mergeCell ref="A16:B16"/>
    <mergeCell ref="A17:B17"/>
  </mergeCells>
  <printOptions/>
  <pageMargins left="0.75" right="0.75" top="1" bottom="1" header="0.5" footer="0.5"/>
  <pageSetup firstPageNumber="48" useFirstPageNumber="1" horizontalDpi="600" verticalDpi="600" orientation="portrait" paperSize="9" scale="86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1470"/>
  <sheetViews>
    <sheetView showGridLines="0" zoomScaleSheetLayoutView="100" zoomScalePageLayoutView="0" workbookViewId="0" topLeftCell="A1">
      <selection activeCell="B4" sqref="B4:G4"/>
    </sheetView>
  </sheetViews>
  <sheetFormatPr defaultColWidth="9.375" defaultRowHeight="12.75"/>
  <cols>
    <col min="1" max="1" width="53.00390625" style="187" customWidth="1"/>
    <col min="2" max="2" width="4.375" style="6" customWidth="1"/>
    <col min="3" max="4" width="3.375" style="6" customWidth="1"/>
    <col min="5" max="5" width="9.75390625" style="6" customWidth="1"/>
    <col min="6" max="6" width="3.375" style="6" customWidth="1"/>
    <col min="7" max="7" width="15.00390625" style="7" customWidth="1"/>
    <col min="8" max="8" width="13.75390625" style="9" hidden="1" customWidth="1"/>
    <col min="9" max="9" width="18.375" style="9" hidden="1" customWidth="1"/>
    <col min="10" max="10" width="6.75390625" style="69" customWidth="1"/>
    <col min="11" max="11" width="14.375" style="69" customWidth="1"/>
    <col min="12" max="12" width="14.75390625" style="69" customWidth="1"/>
    <col min="13" max="15" width="9.375" style="69" customWidth="1"/>
    <col min="16" max="16" width="7.375" style="69" customWidth="1"/>
    <col min="17" max="17" width="12.375" style="69" customWidth="1"/>
    <col min="18" max="18" width="13.375" style="9" customWidth="1"/>
    <col min="19" max="19" width="7.375" style="9" customWidth="1"/>
    <col min="20" max="20" width="15.375" style="9" customWidth="1"/>
    <col min="21" max="21" width="7.00390625" style="9" customWidth="1"/>
    <col min="22" max="22" width="18.00390625" style="9" customWidth="1"/>
    <col min="23" max="16384" width="9.375" style="9" customWidth="1"/>
  </cols>
  <sheetData>
    <row r="1" ht="15">
      <c r="B1" s="8"/>
    </row>
    <row r="2" spans="2:7" ht="15">
      <c r="B2" s="410" t="s">
        <v>1834</v>
      </c>
      <c r="C2" s="410"/>
      <c r="D2" s="410"/>
      <c r="E2" s="410"/>
      <c r="F2" s="410"/>
      <c r="G2" s="410"/>
    </row>
    <row r="3" spans="2:7" ht="15">
      <c r="B3" s="410" t="s">
        <v>1130</v>
      </c>
      <c r="C3" s="410"/>
      <c r="D3" s="410"/>
      <c r="E3" s="410"/>
      <c r="F3" s="410"/>
      <c r="G3" s="410"/>
    </row>
    <row r="4" spans="2:7" ht="15">
      <c r="B4" s="411" t="s">
        <v>2047</v>
      </c>
      <c r="C4" s="411"/>
      <c r="D4" s="411"/>
      <c r="E4" s="411"/>
      <c r="F4" s="411"/>
      <c r="G4" s="411"/>
    </row>
    <row r="5" ht="11.25" customHeight="1">
      <c r="B5" s="1"/>
    </row>
    <row r="6" spans="2:7" ht="13.5" customHeight="1">
      <c r="B6" s="410" t="s">
        <v>978</v>
      </c>
      <c r="C6" s="410"/>
      <c r="D6" s="410"/>
      <c r="E6" s="410"/>
      <c r="F6" s="410"/>
      <c r="G6" s="410"/>
    </row>
    <row r="7" spans="2:7" ht="17.25" customHeight="1">
      <c r="B7" s="410" t="s">
        <v>693</v>
      </c>
      <c r="C7" s="410"/>
      <c r="D7" s="410"/>
      <c r="E7" s="410"/>
      <c r="F7" s="410"/>
      <c r="G7" s="410"/>
    </row>
    <row r="8" spans="2:7" ht="13.5" customHeight="1">
      <c r="B8" s="411" t="s">
        <v>780</v>
      </c>
      <c r="C8" s="411"/>
      <c r="D8" s="411"/>
      <c r="E8" s="411"/>
      <c r="F8" s="411"/>
      <c r="G8" s="411"/>
    </row>
    <row r="9" spans="1:7" ht="15.75" customHeight="1">
      <c r="A9" s="413" t="s">
        <v>1538</v>
      </c>
      <c r="B9" s="413"/>
      <c r="C9" s="413"/>
      <c r="D9" s="413"/>
      <c r="E9" s="413"/>
      <c r="F9" s="413"/>
      <c r="G9" s="413"/>
    </row>
    <row r="10" spans="1:7" ht="15.75">
      <c r="A10" s="412" t="s">
        <v>254</v>
      </c>
      <c r="B10" s="412"/>
      <c r="C10" s="412"/>
      <c r="D10" s="412"/>
      <c r="E10" s="412"/>
      <c r="F10" s="412"/>
      <c r="G10" s="412"/>
    </row>
    <row r="11" spans="1:7" ht="10.5" customHeight="1" thickBot="1">
      <c r="A11" s="188"/>
      <c r="B11" s="43"/>
      <c r="C11" s="10"/>
      <c r="D11" s="10"/>
      <c r="E11" s="10"/>
      <c r="F11" s="9"/>
      <c r="G11" s="44" t="s">
        <v>1619</v>
      </c>
    </row>
    <row r="12" spans="1:17" s="12" customFormat="1" ht="33.75" customHeight="1" thickBot="1">
      <c r="A12" s="189" t="s">
        <v>1443</v>
      </c>
      <c r="B12" s="45" t="s">
        <v>21</v>
      </c>
      <c r="C12" s="45" t="s">
        <v>1620</v>
      </c>
      <c r="D12" s="45" t="s">
        <v>1621</v>
      </c>
      <c r="E12" s="45" t="s">
        <v>1622</v>
      </c>
      <c r="F12" s="45" t="s">
        <v>1623</v>
      </c>
      <c r="G12" s="42" t="s">
        <v>1140</v>
      </c>
      <c r="J12" s="71"/>
      <c r="K12" s="71"/>
      <c r="L12" s="71"/>
      <c r="M12" s="71"/>
      <c r="N12" s="71"/>
      <c r="O12" s="71"/>
      <c r="P12" s="71"/>
      <c r="Q12" s="71"/>
    </row>
    <row r="13" spans="1:18" ht="20.25" customHeight="1">
      <c r="A13" s="46" t="s">
        <v>1146</v>
      </c>
      <c r="B13" s="47"/>
      <c r="C13" s="47"/>
      <c r="D13" s="47"/>
      <c r="E13" s="47"/>
      <c r="F13" s="47"/>
      <c r="G13" s="48">
        <f>G14+G384+G577+G856+G1406+G1432+G1442</f>
        <v>5088557.000000001</v>
      </c>
      <c r="H13" s="60">
        <v>3464482</v>
      </c>
      <c r="I13" s="61">
        <f>H13-G13</f>
        <v>-1624075.000000001</v>
      </c>
      <c r="K13" s="74">
        <v>5036862</v>
      </c>
      <c r="L13" s="74">
        <f>G13-K13</f>
        <v>51695.00000000093</v>
      </c>
      <c r="Q13" s="74"/>
      <c r="R13" s="61"/>
    </row>
    <row r="14" spans="1:8" ht="17.25" customHeight="1">
      <c r="A14" s="190" t="s">
        <v>1194</v>
      </c>
      <c r="B14" s="49" t="s">
        <v>106</v>
      </c>
      <c r="C14" s="49"/>
      <c r="D14" s="49"/>
      <c r="E14" s="49"/>
      <c r="F14" s="49"/>
      <c r="G14" s="50">
        <f>G15+G360</f>
        <v>2336809.3000000003</v>
      </c>
      <c r="H14" s="111"/>
    </row>
    <row r="15" spans="1:7" ht="15">
      <c r="A15" s="54" t="s">
        <v>440</v>
      </c>
      <c r="B15" s="51" t="s">
        <v>106</v>
      </c>
      <c r="C15" s="15" t="s">
        <v>1651</v>
      </c>
      <c r="D15" s="39"/>
      <c r="E15" s="39"/>
      <c r="F15" s="39"/>
      <c r="G15" s="18">
        <f>G16+G94+G253+G263+G283+G250</f>
        <v>2297715.7</v>
      </c>
    </row>
    <row r="16" spans="1:7" ht="15">
      <c r="A16" s="29" t="s">
        <v>441</v>
      </c>
      <c r="B16" s="51" t="s">
        <v>106</v>
      </c>
      <c r="C16" s="15" t="s">
        <v>1651</v>
      </c>
      <c r="D16" s="15" t="s">
        <v>1624</v>
      </c>
      <c r="E16" s="39"/>
      <c r="F16" s="39"/>
      <c r="G16" s="18">
        <f>G26+G17+G56+G39+G49</f>
        <v>968913.3</v>
      </c>
    </row>
    <row r="17" spans="1:7" ht="24">
      <c r="A17" s="31" t="s">
        <v>559</v>
      </c>
      <c r="B17" s="51" t="s">
        <v>106</v>
      </c>
      <c r="C17" s="15" t="s">
        <v>1651</v>
      </c>
      <c r="D17" s="15" t="s">
        <v>1624</v>
      </c>
      <c r="E17" s="15" t="s">
        <v>102</v>
      </c>
      <c r="F17" s="39"/>
      <c r="G17" s="18">
        <f>G18</f>
        <v>9870.3</v>
      </c>
    </row>
    <row r="18" spans="1:7" ht="31.5" customHeight="1">
      <c r="A18" s="35" t="s">
        <v>354</v>
      </c>
      <c r="B18" s="51" t="s">
        <v>106</v>
      </c>
      <c r="C18" s="15" t="s">
        <v>1651</v>
      </c>
      <c r="D18" s="15" t="s">
        <v>1624</v>
      </c>
      <c r="E18" s="15" t="s">
        <v>15</v>
      </c>
      <c r="F18" s="39" t="s">
        <v>571</v>
      </c>
      <c r="G18" s="18">
        <f>G21+G22+G23+G24</f>
        <v>9870.3</v>
      </c>
    </row>
    <row r="19" spans="1:7" ht="17.25" customHeight="1" hidden="1">
      <c r="A19" s="118" t="s">
        <v>1195</v>
      </c>
      <c r="B19" s="51" t="s">
        <v>106</v>
      </c>
      <c r="C19" s="15" t="s">
        <v>1651</v>
      </c>
      <c r="D19" s="15" t="s">
        <v>1624</v>
      </c>
      <c r="E19" s="15" t="s">
        <v>15</v>
      </c>
      <c r="F19" s="39" t="s">
        <v>271</v>
      </c>
      <c r="G19" s="18">
        <f>G20</f>
        <v>0</v>
      </c>
    </row>
    <row r="20" spans="1:7" ht="40.5" customHeight="1" hidden="1">
      <c r="A20" s="35" t="s">
        <v>421</v>
      </c>
      <c r="B20" s="51" t="s">
        <v>106</v>
      </c>
      <c r="C20" s="15" t="s">
        <v>1651</v>
      </c>
      <c r="D20" s="15" t="s">
        <v>1624</v>
      </c>
      <c r="E20" s="15" t="s">
        <v>15</v>
      </c>
      <c r="F20" s="39" t="s">
        <v>180</v>
      </c>
      <c r="G20" s="18">
        <v>0</v>
      </c>
    </row>
    <row r="21" spans="1:7" ht="28.5" customHeight="1">
      <c r="A21" s="35" t="s">
        <v>190</v>
      </c>
      <c r="B21" s="51" t="s">
        <v>106</v>
      </c>
      <c r="C21" s="15" t="s">
        <v>1651</v>
      </c>
      <c r="D21" s="15" t="s">
        <v>1624</v>
      </c>
      <c r="E21" s="15" t="s">
        <v>15</v>
      </c>
      <c r="F21" s="39" t="s">
        <v>571</v>
      </c>
      <c r="G21" s="18">
        <f>1068.7+2801.6</f>
        <v>3870.3</v>
      </c>
    </row>
    <row r="22" spans="1:7" ht="28.5" customHeight="1" hidden="1">
      <c r="A22" s="35" t="s">
        <v>763</v>
      </c>
      <c r="B22" s="51" t="s">
        <v>106</v>
      </c>
      <c r="C22" s="15" t="s">
        <v>1651</v>
      </c>
      <c r="D22" s="15" t="s">
        <v>1624</v>
      </c>
      <c r="E22" s="15" t="s">
        <v>15</v>
      </c>
      <c r="F22" s="39" t="s">
        <v>571</v>
      </c>
      <c r="G22" s="18">
        <v>0</v>
      </c>
    </row>
    <row r="23" spans="1:7" ht="40.5" customHeight="1">
      <c r="A23" s="35" t="s">
        <v>1437</v>
      </c>
      <c r="B23" s="51" t="s">
        <v>106</v>
      </c>
      <c r="C23" s="15" t="s">
        <v>1651</v>
      </c>
      <c r="D23" s="15" t="s">
        <v>1624</v>
      </c>
      <c r="E23" s="15" t="s">
        <v>15</v>
      </c>
      <c r="F23" s="39" t="s">
        <v>571</v>
      </c>
      <c r="G23" s="18">
        <v>6000</v>
      </c>
    </row>
    <row r="24" spans="1:7" ht="40.5" customHeight="1" hidden="1">
      <c r="A24" s="35" t="s">
        <v>764</v>
      </c>
      <c r="B24" s="51" t="s">
        <v>106</v>
      </c>
      <c r="C24" s="15" t="s">
        <v>1651</v>
      </c>
      <c r="D24" s="15" t="s">
        <v>1624</v>
      </c>
      <c r="E24" s="15" t="s">
        <v>15</v>
      </c>
      <c r="F24" s="39" t="s">
        <v>571</v>
      </c>
      <c r="G24" s="18">
        <v>0</v>
      </c>
    </row>
    <row r="25" spans="1:7" ht="40.5" customHeight="1" hidden="1">
      <c r="A25" s="35" t="s">
        <v>765</v>
      </c>
      <c r="B25" s="51" t="s">
        <v>106</v>
      </c>
      <c r="C25" s="15" t="s">
        <v>1651</v>
      </c>
      <c r="D25" s="15" t="s">
        <v>1624</v>
      </c>
      <c r="E25" s="15" t="s">
        <v>15</v>
      </c>
      <c r="F25" s="39" t="s">
        <v>738</v>
      </c>
      <c r="G25" s="18"/>
    </row>
    <row r="26" spans="1:7" ht="15">
      <c r="A26" s="30" t="s">
        <v>723</v>
      </c>
      <c r="B26" s="51" t="s">
        <v>106</v>
      </c>
      <c r="C26" s="15" t="s">
        <v>1651</v>
      </c>
      <c r="D26" s="15" t="s">
        <v>1624</v>
      </c>
      <c r="E26" s="15" t="s">
        <v>1963</v>
      </c>
      <c r="F26" s="39"/>
      <c r="G26" s="18">
        <f>G27</f>
        <v>685.8</v>
      </c>
    </row>
    <row r="27" spans="1:7" ht="24">
      <c r="A27" s="16" t="s">
        <v>2002</v>
      </c>
      <c r="B27" s="51" t="s">
        <v>106</v>
      </c>
      <c r="C27" s="15" t="s">
        <v>1651</v>
      </c>
      <c r="D27" s="15" t="s">
        <v>1624</v>
      </c>
      <c r="E27" s="15" t="s">
        <v>1055</v>
      </c>
      <c r="F27" s="15" t="s">
        <v>575</v>
      </c>
      <c r="G27" s="18">
        <f>G28+G29+G34</f>
        <v>685.8</v>
      </c>
    </row>
    <row r="28" spans="1:7" ht="21" customHeight="1" hidden="1">
      <c r="A28" s="118" t="s">
        <v>1083</v>
      </c>
      <c r="B28" s="51" t="s">
        <v>106</v>
      </c>
      <c r="C28" s="15" t="s">
        <v>1651</v>
      </c>
      <c r="D28" s="15" t="s">
        <v>1624</v>
      </c>
      <c r="E28" s="15" t="s">
        <v>1055</v>
      </c>
      <c r="F28" s="15" t="s">
        <v>738</v>
      </c>
      <c r="G28" s="18"/>
    </row>
    <row r="29" spans="1:7" ht="24">
      <c r="A29" s="16" t="s">
        <v>270</v>
      </c>
      <c r="B29" s="51" t="s">
        <v>106</v>
      </c>
      <c r="C29" s="15" t="s">
        <v>1651</v>
      </c>
      <c r="D29" s="15" t="s">
        <v>1624</v>
      </c>
      <c r="E29" s="15" t="s">
        <v>1055</v>
      </c>
      <c r="F29" s="15" t="s">
        <v>271</v>
      </c>
      <c r="G29" s="18">
        <f>G30+G31</f>
        <v>448.9</v>
      </c>
    </row>
    <row r="30" spans="1:7" ht="24.75" hidden="1">
      <c r="A30" s="16" t="s">
        <v>269</v>
      </c>
      <c r="B30" s="51" t="s">
        <v>106</v>
      </c>
      <c r="C30" s="15" t="s">
        <v>1651</v>
      </c>
      <c r="D30" s="15" t="s">
        <v>1624</v>
      </c>
      <c r="E30" s="15" t="s">
        <v>1055</v>
      </c>
      <c r="F30" s="15" t="s">
        <v>570</v>
      </c>
      <c r="G30" s="18">
        <f>29150-401-28749</f>
        <v>0</v>
      </c>
    </row>
    <row r="31" spans="1:7" ht="24">
      <c r="A31" s="16" t="s">
        <v>1568</v>
      </c>
      <c r="B31" s="51" t="s">
        <v>106</v>
      </c>
      <c r="C31" s="15" t="s">
        <v>1651</v>
      </c>
      <c r="D31" s="15" t="s">
        <v>1624</v>
      </c>
      <c r="E31" s="15" t="s">
        <v>1055</v>
      </c>
      <c r="F31" s="15" t="s">
        <v>180</v>
      </c>
      <c r="G31" s="18">
        <f>G32+G33</f>
        <v>448.9</v>
      </c>
    </row>
    <row r="32" spans="1:7" ht="36" hidden="1">
      <c r="A32" s="16" t="s">
        <v>1026</v>
      </c>
      <c r="B32" s="51" t="s">
        <v>106</v>
      </c>
      <c r="C32" s="15" t="s">
        <v>1651</v>
      </c>
      <c r="D32" s="15" t="s">
        <v>1624</v>
      </c>
      <c r="E32" s="15" t="s">
        <v>1055</v>
      </c>
      <c r="F32" s="15" t="s">
        <v>180</v>
      </c>
      <c r="G32" s="18"/>
    </row>
    <row r="33" spans="1:7" ht="36">
      <c r="A33" s="16" t="s">
        <v>730</v>
      </c>
      <c r="B33" s="51" t="s">
        <v>106</v>
      </c>
      <c r="C33" s="15" t="s">
        <v>1651</v>
      </c>
      <c r="D33" s="15" t="s">
        <v>1624</v>
      </c>
      <c r="E33" s="15" t="s">
        <v>1055</v>
      </c>
      <c r="F33" s="15" t="s">
        <v>180</v>
      </c>
      <c r="G33" s="18">
        <v>448.9</v>
      </c>
    </row>
    <row r="34" spans="1:7" ht="24">
      <c r="A34" s="16" t="s">
        <v>396</v>
      </c>
      <c r="B34" s="51" t="s">
        <v>106</v>
      </c>
      <c r="C34" s="15" t="s">
        <v>1651</v>
      </c>
      <c r="D34" s="15" t="s">
        <v>1624</v>
      </c>
      <c r="E34" s="15" t="s">
        <v>1055</v>
      </c>
      <c r="F34" s="15" t="s">
        <v>1433</v>
      </c>
      <c r="G34" s="18">
        <f>G35+G36</f>
        <v>236.9</v>
      </c>
    </row>
    <row r="35" spans="1:7" ht="24.75" hidden="1">
      <c r="A35" s="16" t="s">
        <v>395</v>
      </c>
      <c r="B35" s="51" t="s">
        <v>106</v>
      </c>
      <c r="C35" s="15" t="s">
        <v>1651</v>
      </c>
      <c r="D35" s="15" t="s">
        <v>1624</v>
      </c>
      <c r="E35" s="15" t="s">
        <v>1055</v>
      </c>
      <c r="F35" s="15" t="s">
        <v>1434</v>
      </c>
      <c r="G35" s="18">
        <f>501131-11638-489493</f>
        <v>0</v>
      </c>
    </row>
    <row r="36" spans="1:7" ht="24">
      <c r="A36" s="16" t="s">
        <v>1569</v>
      </c>
      <c r="B36" s="51" t="s">
        <v>106</v>
      </c>
      <c r="C36" s="15" t="s">
        <v>1651</v>
      </c>
      <c r="D36" s="15" t="s">
        <v>1624</v>
      </c>
      <c r="E36" s="15" t="s">
        <v>1055</v>
      </c>
      <c r="F36" s="15" t="s">
        <v>1196</v>
      </c>
      <c r="G36" s="18">
        <f>G37+G38</f>
        <v>236.9</v>
      </c>
    </row>
    <row r="37" spans="1:7" ht="24">
      <c r="A37" s="35" t="s">
        <v>883</v>
      </c>
      <c r="B37" s="51" t="s">
        <v>106</v>
      </c>
      <c r="C37" s="15" t="s">
        <v>1651</v>
      </c>
      <c r="D37" s="15" t="s">
        <v>1624</v>
      </c>
      <c r="E37" s="15" t="s">
        <v>1055</v>
      </c>
      <c r="F37" s="15" t="s">
        <v>1196</v>
      </c>
      <c r="G37" s="18">
        <v>236.9</v>
      </c>
    </row>
    <row r="38" spans="1:7" ht="24.75" hidden="1">
      <c r="A38" s="35" t="s">
        <v>1970</v>
      </c>
      <c r="B38" s="51" t="s">
        <v>106</v>
      </c>
      <c r="C38" s="15" t="s">
        <v>1651</v>
      </c>
      <c r="D38" s="15" t="s">
        <v>1624</v>
      </c>
      <c r="E38" s="15" t="s">
        <v>1055</v>
      </c>
      <c r="F38" s="15" t="s">
        <v>1196</v>
      </c>
      <c r="G38" s="18"/>
    </row>
    <row r="39" spans="1:7" ht="15">
      <c r="A39" s="31" t="s">
        <v>32</v>
      </c>
      <c r="B39" s="51" t="s">
        <v>106</v>
      </c>
      <c r="C39" s="15" t="s">
        <v>1651</v>
      </c>
      <c r="D39" s="15" t="s">
        <v>1624</v>
      </c>
      <c r="E39" s="15" t="s">
        <v>33</v>
      </c>
      <c r="F39" s="15"/>
      <c r="G39" s="18">
        <f>G40+G46</f>
        <v>7805.900000000001</v>
      </c>
    </row>
    <row r="40" spans="1:7" ht="24">
      <c r="A40" s="35" t="s">
        <v>788</v>
      </c>
      <c r="B40" s="51" t="s">
        <v>106</v>
      </c>
      <c r="C40" s="15" t="s">
        <v>1651</v>
      </c>
      <c r="D40" s="15" t="s">
        <v>1624</v>
      </c>
      <c r="E40" s="15" t="s">
        <v>789</v>
      </c>
      <c r="F40" s="15"/>
      <c r="G40" s="18">
        <f>G41</f>
        <v>7805.900000000001</v>
      </c>
    </row>
    <row r="41" spans="1:7" ht="48">
      <c r="A41" s="35" t="s">
        <v>790</v>
      </c>
      <c r="B41" s="51" t="s">
        <v>106</v>
      </c>
      <c r="C41" s="15" t="s">
        <v>1651</v>
      </c>
      <c r="D41" s="15" t="s">
        <v>1624</v>
      </c>
      <c r="E41" s="15" t="s">
        <v>791</v>
      </c>
      <c r="F41" s="15" t="s">
        <v>575</v>
      </c>
      <c r="G41" s="18">
        <f>G42+G44</f>
        <v>7805.900000000001</v>
      </c>
    </row>
    <row r="42" spans="1:7" ht="24">
      <c r="A42" s="16" t="s">
        <v>270</v>
      </c>
      <c r="B42" s="51" t="s">
        <v>106</v>
      </c>
      <c r="C42" s="15" t="s">
        <v>1651</v>
      </c>
      <c r="D42" s="15" t="s">
        <v>1624</v>
      </c>
      <c r="E42" s="15" t="s">
        <v>791</v>
      </c>
      <c r="F42" s="15" t="s">
        <v>271</v>
      </c>
      <c r="G42" s="18">
        <f>G43</f>
        <v>240.3</v>
      </c>
    </row>
    <row r="43" spans="1:7" ht="24">
      <c r="A43" s="16" t="s">
        <v>269</v>
      </c>
      <c r="B43" s="51" t="s">
        <v>106</v>
      </c>
      <c r="C43" s="15" t="s">
        <v>1651</v>
      </c>
      <c r="D43" s="15" t="s">
        <v>1624</v>
      </c>
      <c r="E43" s="15" t="s">
        <v>791</v>
      </c>
      <c r="F43" s="15" t="s">
        <v>570</v>
      </c>
      <c r="G43" s="18">
        <v>240.3</v>
      </c>
    </row>
    <row r="44" spans="1:7" ht="24">
      <c r="A44" s="16" t="s">
        <v>396</v>
      </c>
      <c r="B44" s="51" t="s">
        <v>106</v>
      </c>
      <c r="C44" s="15" t="s">
        <v>1651</v>
      </c>
      <c r="D44" s="15" t="s">
        <v>1624</v>
      </c>
      <c r="E44" s="15" t="s">
        <v>791</v>
      </c>
      <c r="F44" s="15" t="s">
        <v>1433</v>
      </c>
      <c r="G44" s="18">
        <f>G45</f>
        <v>7565.6</v>
      </c>
    </row>
    <row r="45" spans="1:7" ht="24">
      <c r="A45" s="16" t="s">
        <v>395</v>
      </c>
      <c r="B45" s="51" t="s">
        <v>106</v>
      </c>
      <c r="C45" s="15" t="s">
        <v>1651</v>
      </c>
      <c r="D45" s="15" t="s">
        <v>1624</v>
      </c>
      <c r="E45" s="15" t="s">
        <v>791</v>
      </c>
      <c r="F45" s="15" t="s">
        <v>1434</v>
      </c>
      <c r="G45" s="18">
        <v>7565.6</v>
      </c>
    </row>
    <row r="46" spans="1:7" ht="24.75" hidden="1">
      <c r="A46" s="16" t="s">
        <v>422</v>
      </c>
      <c r="B46" s="51" t="s">
        <v>106</v>
      </c>
      <c r="C46" s="15" t="s">
        <v>1651</v>
      </c>
      <c r="D46" s="15" t="s">
        <v>1624</v>
      </c>
      <c r="E46" s="15" t="s">
        <v>1971</v>
      </c>
      <c r="F46" s="15" t="s">
        <v>575</v>
      </c>
      <c r="G46" s="18">
        <f>G47</f>
        <v>0</v>
      </c>
    </row>
    <row r="47" spans="1:7" ht="24.75" hidden="1">
      <c r="A47" s="16" t="s">
        <v>29</v>
      </c>
      <c r="B47" s="51" t="s">
        <v>106</v>
      </c>
      <c r="C47" s="15" t="s">
        <v>1651</v>
      </c>
      <c r="D47" s="15" t="s">
        <v>1624</v>
      </c>
      <c r="E47" s="15" t="s">
        <v>28</v>
      </c>
      <c r="F47" s="15" t="s">
        <v>575</v>
      </c>
      <c r="G47" s="18">
        <f>G48</f>
        <v>0</v>
      </c>
    </row>
    <row r="48" spans="1:7" ht="36" hidden="1">
      <c r="A48" s="16" t="s">
        <v>1972</v>
      </c>
      <c r="B48" s="51" t="s">
        <v>106</v>
      </c>
      <c r="C48" s="15" t="s">
        <v>1651</v>
      </c>
      <c r="D48" s="15" t="s">
        <v>1624</v>
      </c>
      <c r="E48" s="15" t="s">
        <v>28</v>
      </c>
      <c r="F48" s="15" t="s">
        <v>738</v>
      </c>
      <c r="G48" s="18"/>
    </row>
    <row r="49" spans="1:7" ht="24">
      <c r="A49" s="16" t="s">
        <v>814</v>
      </c>
      <c r="B49" s="51" t="s">
        <v>106</v>
      </c>
      <c r="C49" s="15" t="s">
        <v>1651</v>
      </c>
      <c r="D49" s="15" t="s">
        <v>1624</v>
      </c>
      <c r="E49" s="15" t="s">
        <v>815</v>
      </c>
      <c r="F49" s="15"/>
      <c r="G49" s="18">
        <f>G50+G52</f>
        <v>1000</v>
      </c>
    </row>
    <row r="50" spans="1:7" ht="24.75" hidden="1">
      <c r="A50" s="16" t="s">
        <v>1029</v>
      </c>
      <c r="B50" s="51" t="s">
        <v>106</v>
      </c>
      <c r="C50" s="15" t="s">
        <v>1651</v>
      </c>
      <c r="D50" s="15" t="s">
        <v>1624</v>
      </c>
      <c r="E50" s="15" t="s">
        <v>816</v>
      </c>
      <c r="F50" s="15" t="s">
        <v>575</v>
      </c>
      <c r="G50" s="18">
        <f>G51</f>
        <v>0</v>
      </c>
    </row>
    <row r="51" spans="1:7" ht="48" hidden="1">
      <c r="A51" s="16" t="s">
        <v>897</v>
      </c>
      <c r="B51" s="51" t="s">
        <v>106</v>
      </c>
      <c r="C51" s="15" t="s">
        <v>1651</v>
      </c>
      <c r="D51" s="15" t="s">
        <v>1624</v>
      </c>
      <c r="E51" s="15" t="s">
        <v>816</v>
      </c>
      <c r="F51" s="15" t="s">
        <v>571</v>
      </c>
      <c r="G51" s="18">
        <v>0</v>
      </c>
    </row>
    <row r="52" spans="1:7" ht="48">
      <c r="A52" s="16" t="s">
        <v>276</v>
      </c>
      <c r="B52" s="51" t="s">
        <v>106</v>
      </c>
      <c r="C52" s="15" t="s">
        <v>1651</v>
      </c>
      <c r="D52" s="15" t="s">
        <v>1624</v>
      </c>
      <c r="E52" s="15" t="s">
        <v>275</v>
      </c>
      <c r="F52" s="15"/>
      <c r="G52" s="18">
        <f>G53</f>
        <v>1000</v>
      </c>
    </row>
    <row r="53" spans="1:7" ht="24">
      <c r="A53" s="16" t="s">
        <v>1432</v>
      </c>
      <c r="B53" s="51" t="s">
        <v>106</v>
      </c>
      <c r="C53" s="15" t="s">
        <v>1651</v>
      </c>
      <c r="D53" s="15" t="s">
        <v>1624</v>
      </c>
      <c r="E53" s="15" t="s">
        <v>275</v>
      </c>
      <c r="F53" s="15" t="s">
        <v>1433</v>
      </c>
      <c r="G53" s="18">
        <f>G54</f>
        <v>1000</v>
      </c>
    </row>
    <row r="54" spans="1:7" ht="24">
      <c r="A54" s="16" t="s">
        <v>1027</v>
      </c>
      <c r="B54" s="51" t="s">
        <v>106</v>
      </c>
      <c r="C54" s="15" t="s">
        <v>1651</v>
      </c>
      <c r="D54" s="15" t="s">
        <v>1624</v>
      </c>
      <c r="E54" s="15" t="s">
        <v>275</v>
      </c>
      <c r="F54" s="15" t="s">
        <v>1196</v>
      </c>
      <c r="G54" s="18">
        <f>G55</f>
        <v>1000</v>
      </c>
    </row>
    <row r="55" spans="1:7" ht="60">
      <c r="A55" s="35" t="s">
        <v>277</v>
      </c>
      <c r="B55" s="51" t="s">
        <v>106</v>
      </c>
      <c r="C55" s="15" t="s">
        <v>1651</v>
      </c>
      <c r="D55" s="15" t="s">
        <v>1624</v>
      </c>
      <c r="E55" s="15" t="s">
        <v>275</v>
      </c>
      <c r="F55" s="15" t="s">
        <v>1196</v>
      </c>
      <c r="G55" s="18">
        <v>1000</v>
      </c>
    </row>
    <row r="56" spans="1:7" ht="15">
      <c r="A56" s="31" t="s">
        <v>1664</v>
      </c>
      <c r="B56" s="51" t="s">
        <v>106</v>
      </c>
      <c r="C56" s="15" t="s">
        <v>1651</v>
      </c>
      <c r="D56" s="15" t="s">
        <v>1624</v>
      </c>
      <c r="E56" s="15" t="s">
        <v>1663</v>
      </c>
      <c r="F56" s="15"/>
      <c r="G56" s="18">
        <f>G57+G84+G89</f>
        <v>949551.3</v>
      </c>
    </row>
    <row r="57" spans="1:7" ht="24">
      <c r="A57" s="16" t="s">
        <v>892</v>
      </c>
      <c r="B57" s="51" t="s">
        <v>106</v>
      </c>
      <c r="C57" s="52" t="s">
        <v>1651</v>
      </c>
      <c r="D57" s="52" t="s">
        <v>1624</v>
      </c>
      <c r="E57" s="52" t="s">
        <v>1982</v>
      </c>
      <c r="F57" s="52" t="s">
        <v>575</v>
      </c>
      <c r="G57" s="18">
        <f>G58+G62+G65+G75</f>
        <v>933534.3</v>
      </c>
    </row>
    <row r="58" spans="1:7" ht="24">
      <c r="A58" s="35" t="s">
        <v>355</v>
      </c>
      <c r="B58" s="51" t="s">
        <v>106</v>
      </c>
      <c r="C58" s="52" t="s">
        <v>1651</v>
      </c>
      <c r="D58" s="52" t="s">
        <v>1624</v>
      </c>
      <c r="E58" s="52" t="s">
        <v>1982</v>
      </c>
      <c r="F58" s="52" t="s">
        <v>356</v>
      </c>
      <c r="G58" s="18">
        <f>G59+G61</f>
        <v>151005</v>
      </c>
    </row>
    <row r="59" spans="1:7" ht="42" customHeight="1">
      <c r="A59" s="118" t="s">
        <v>558</v>
      </c>
      <c r="B59" s="51" t="s">
        <v>106</v>
      </c>
      <c r="C59" s="52" t="s">
        <v>1651</v>
      </c>
      <c r="D59" s="52" t="s">
        <v>1624</v>
      </c>
      <c r="E59" s="52" t="s">
        <v>1982</v>
      </c>
      <c r="F59" s="52" t="s">
        <v>356</v>
      </c>
      <c r="G59" s="18">
        <v>3012.6</v>
      </c>
    </row>
    <row r="60" spans="1:7" ht="16.5" customHeight="1" hidden="1">
      <c r="A60" s="118" t="s">
        <v>1083</v>
      </c>
      <c r="B60" s="51" t="s">
        <v>106</v>
      </c>
      <c r="C60" s="52" t="s">
        <v>1651</v>
      </c>
      <c r="D60" s="52" t="s">
        <v>1624</v>
      </c>
      <c r="E60" s="52" t="s">
        <v>1982</v>
      </c>
      <c r="F60" s="52" t="s">
        <v>738</v>
      </c>
      <c r="G60" s="18"/>
    </row>
    <row r="61" spans="1:7" ht="36">
      <c r="A61" s="118" t="s">
        <v>1570</v>
      </c>
      <c r="B61" s="51" t="s">
        <v>106</v>
      </c>
      <c r="C61" s="52" t="s">
        <v>1651</v>
      </c>
      <c r="D61" s="52" t="s">
        <v>1624</v>
      </c>
      <c r="E61" s="52" t="s">
        <v>1982</v>
      </c>
      <c r="F61" s="52" t="s">
        <v>356</v>
      </c>
      <c r="G61" s="18">
        <v>147992.4</v>
      </c>
    </row>
    <row r="62" spans="1:7" ht="24.75" hidden="1">
      <c r="A62" s="35" t="s">
        <v>354</v>
      </c>
      <c r="B62" s="51" t="s">
        <v>106</v>
      </c>
      <c r="C62" s="52" t="s">
        <v>1651</v>
      </c>
      <c r="D62" s="52" t="s">
        <v>1624</v>
      </c>
      <c r="E62" s="52" t="s">
        <v>1982</v>
      </c>
      <c r="F62" s="52" t="s">
        <v>571</v>
      </c>
      <c r="G62" s="18">
        <f>G63+G64</f>
        <v>0</v>
      </c>
    </row>
    <row r="63" spans="1:7" ht="33.75" customHeight="1" hidden="1">
      <c r="A63" s="35" t="s">
        <v>763</v>
      </c>
      <c r="B63" s="51" t="s">
        <v>106</v>
      </c>
      <c r="C63" s="52" t="s">
        <v>1651</v>
      </c>
      <c r="D63" s="52" t="s">
        <v>1624</v>
      </c>
      <c r="E63" s="52" t="s">
        <v>1982</v>
      </c>
      <c r="F63" s="52" t="s">
        <v>571</v>
      </c>
      <c r="G63" s="18">
        <v>0</v>
      </c>
    </row>
    <row r="64" spans="1:7" ht="24.75" hidden="1">
      <c r="A64" s="35" t="s">
        <v>764</v>
      </c>
      <c r="B64" s="51" t="s">
        <v>106</v>
      </c>
      <c r="C64" s="52" t="s">
        <v>1651</v>
      </c>
      <c r="D64" s="52" t="s">
        <v>1624</v>
      </c>
      <c r="E64" s="52" t="s">
        <v>1982</v>
      </c>
      <c r="F64" s="52" t="s">
        <v>571</v>
      </c>
      <c r="G64" s="18">
        <v>0</v>
      </c>
    </row>
    <row r="65" spans="1:7" ht="24">
      <c r="A65" s="16" t="s">
        <v>270</v>
      </c>
      <c r="B65" s="51" t="s">
        <v>106</v>
      </c>
      <c r="C65" s="52" t="s">
        <v>1651</v>
      </c>
      <c r="D65" s="52" t="s">
        <v>1624</v>
      </c>
      <c r="E65" s="52" t="s">
        <v>1982</v>
      </c>
      <c r="F65" s="52" t="s">
        <v>271</v>
      </c>
      <c r="G65" s="18">
        <f>G66+G67</f>
        <v>74494.70000000001</v>
      </c>
    </row>
    <row r="66" spans="1:7" ht="24">
      <c r="A66" s="16" t="s">
        <v>269</v>
      </c>
      <c r="B66" s="51" t="s">
        <v>106</v>
      </c>
      <c r="C66" s="52" t="s">
        <v>1651</v>
      </c>
      <c r="D66" s="52" t="s">
        <v>1624</v>
      </c>
      <c r="E66" s="52" t="s">
        <v>1982</v>
      </c>
      <c r="F66" s="52" t="s">
        <v>570</v>
      </c>
      <c r="G66" s="18">
        <f>3937+30-139+9118+500+28749+1000+240.3+8882.1+22+83</f>
        <v>52422.4</v>
      </c>
    </row>
    <row r="67" spans="1:7" ht="24">
      <c r="A67" s="16" t="s">
        <v>850</v>
      </c>
      <c r="B67" s="51" t="s">
        <v>106</v>
      </c>
      <c r="C67" s="52" t="s">
        <v>1651</v>
      </c>
      <c r="D67" s="52" t="s">
        <v>1624</v>
      </c>
      <c r="E67" s="52" t="s">
        <v>1982</v>
      </c>
      <c r="F67" s="52" t="s">
        <v>180</v>
      </c>
      <c r="G67" s="18">
        <f>G68+G69+G70+G71+G72+G73+G74</f>
        <v>22072.300000000003</v>
      </c>
    </row>
    <row r="68" spans="1:7" ht="36" hidden="1">
      <c r="A68" s="35" t="s">
        <v>588</v>
      </c>
      <c r="B68" s="51" t="s">
        <v>106</v>
      </c>
      <c r="C68" s="52" t="s">
        <v>1651</v>
      </c>
      <c r="D68" s="52" t="s">
        <v>1624</v>
      </c>
      <c r="E68" s="52" t="s">
        <v>1982</v>
      </c>
      <c r="F68" s="52" t="s">
        <v>180</v>
      </c>
      <c r="G68" s="18">
        <v>0</v>
      </c>
    </row>
    <row r="69" spans="1:7" ht="24">
      <c r="A69" s="35" t="s">
        <v>863</v>
      </c>
      <c r="B69" s="51" t="s">
        <v>106</v>
      </c>
      <c r="C69" s="52" t="s">
        <v>1651</v>
      </c>
      <c r="D69" s="52" t="s">
        <v>1624</v>
      </c>
      <c r="E69" s="52" t="s">
        <v>1982</v>
      </c>
      <c r="F69" s="52" t="s">
        <v>180</v>
      </c>
      <c r="G69" s="18">
        <f>755+1400+350-1400-355.8</f>
        <v>749.2</v>
      </c>
    </row>
    <row r="70" spans="1:7" ht="24">
      <c r="A70" s="35" t="s">
        <v>1998</v>
      </c>
      <c r="B70" s="51" t="s">
        <v>106</v>
      </c>
      <c r="C70" s="52" t="s">
        <v>1651</v>
      </c>
      <c r="D70" s="52" t="s">
        <v>1624</v>
      </c>
      <c r="E70" s="52" t="s">
        <v>1982</v>
      </c>
      <c r="F70" s="52" t="s">
        <v>180</v>
      </c>
      <c r="G70" s="18">
        <f>600-100+300-111.1</f>
        <v>688.9</v>
      </c>
    </row>
    <row r="71" spans="1:7" ht="24">
      <c r="A71" s="35" t="s">
        <v>242</v>
      </c>
      <c r="B71" s="51" t="s">
        <v>106</v>
      </c>
      <c r="C71" s="52" t="s">
        <v>1651</v>
      </c>
      <c r="D71" s="52" t="s">
        <v>1624</v>
      </c>
      <c r="E71" s="52" t="s">
        <v>1982</v>
      </c>
      <c r="F71" s="52" t="s">
        <v>180</v>
      </c>
      <c r="G71" s="18">
        <f>85790+100-84077.2-900</f>
        <v>912.8000000000029</v>
      </c>
    </row>
    <row r="72" spans="1:7" ht="24">
      <c r="A72" s="35" t="s">
        <v>243</v>
      </c>
      <c r="B72" s="51" t="s">
        <v>106</v>
      </c>
      <c r="C72" s="52" t="s">
        <v>1651</v>
      </c>
      <c r="D72" s="52" t="s">
        <v>1624</v>
      </c>
      <c r="E72" s="52" t="s">
        <v>1982</v>
      </c>
      <c r="F72" s="52" t="s">
        <v>180</v>
      </c>
      <c r="G72" s="18">
        <v>1341</v>
      </c>
    </row>
    <row r="73" spans="1:7" ht="36">
      <c r="A73" s="35" t="s">
        <v>823</v>
      </c>
      <c r="B73" s="51" t="s">
        <v>106</v>
      </c>
      <c r="C73" s="52" t="s">
        <v>1651</v>
      </c>
      <c r="D73" s="52" t="s">
        <v>1624</v>
      </c>
      <c r="E73" s="52" t="s">
        <v>1982</v>
      </c>
      <c r="F73" s="52" t="s">
        <v>180</v>
      </c>
      <c r="G73" s="18">
        <f>9019+17095-6619.6-3000+1200+301.7</f>
        <v>17996.100000000002</v>
      </c>
    </row>
    <row r="74" spans="1:7" ht="24">
      <c r="A74" s="35" t="s">
        <v>824</v>
      </c>
      <c r="B74" s="51" t="s">
        <v>106</v>
      </c>
      <c r="C74" s="52" t="s">
        <v>1651</v>
      </c>
      <c r="D74" s="52" t="s">
        <v>1624</v>
      </c>
      <c r="E74" s="52" t="s">
        <v>1982</v>
      </c>
      <c r="F74" s="52" t="s">
        <v>180</v>
      </c>
      <c r="G74" s="18">
        <f>1886-1501.7</f>
        <v>384.29999999999995</v>
      </c>
    </row>
    <row r="75" spans="1:7" ht="24">
      <c r="A75" s="16" t="s">
        <v>396</v>
      </c>
      <c r="B75" s="51" t="s">
        <v>106</v>
      </c>
      <c r="C75" s="52" t="s">
        <v>1651</v>
      </c>
      <c r="D75" s="52" t="s">
        <v>1624</v>
      </c>
      <c r="E75" s="52" t="s">
        <v>1982</v>
      </c>
      <c r="F75" s="52" t="s">
        <v>1433</v>
      </c>
      <c r="G75" s="18">
        <f>G76+G77</f>
        <v>708034.6</v>
      </c>
    </row>
    <row r="76" spans="1:7" ht="24">
      <c r="A76" s="16" t="s">
        <v>395</v>
      </c>
      <c r="B76" s="51" t="s">
        <v>106</v>
      </c>
      <c r="C76" s="52" t="s">
        <v>1651</v>
      </c>
      <c r="D76" s="52" t="s">
        <v>1624</v>
      </c>
      <c r="E76" s="52" t="s">
        <v>1982</v>
      </c>
      <c r="F76" s="52" t="s">
        <v>1434</v>
      </c>
      <c r="G76" s="18">
        <f>99818+617+14019-15408-9118-930+489493-2596.3-906.6-1000+7565.6-2410-8882.1-22-550+717</f>
        <v>570406.6</v>
      </c>
    </row>
    <row r="77" spans="1:7" ht="24">
      <c r="A77" s="16" t="s">
        <v>556</v>
      </c>
      <c r="B77" s="51" t="s">
        <v>106</v>
      </c>
      <c r="C77" s="52" t="s">
        <v>1651</v>
      </c>
      <c r="D77" s="52" t="s">
        <v>1624</v>
      </c>
      <c r="E77" s="52" t="s">
        <v>1982</v>
      </c>
      <c r="F77" s="52" t="s">
        <v>1196</v>
      </c>
      <c r="G77" s="18">
        <f>G78+G79+G80+G81</f>
        <v>137628</v>
      </c>
    </row>
    <row r="78" spans="1:7" ht="24">
      <c r="A78" s="35" t="s">
        <v>761</v>
      </c>
      <c r="B78" s="51" t="s">
        <v>106</v>
      </c>
      <c r="C78" s="52" t="s">
        <v>1651</v>
      </c>
      <c r="D78" s="52" t="s">
        <v>1624</v>
      </c>
      <c r="E78" s="52" t="s">
        <v>1982</v>
      </c>
      <c r="F78" s="52" t="s">
        <v>1196</v>
      </c>
      <c r="G78" s="18">
        <f>7260+400+2500+3100+2500+2500+6300+900+8250-84+1759.7+1970+1200</f>
        <v>38555.7</v>
      </c>
    </row>
    <row r="79" spans="1:7" ht="24">
      <c r="A79" s="35" t="s">
        <v>611</v>
      </c>
      <c r="B79" s="51" t="s">
        <v>106</v>
      </c>
      <c r="C79" s="52" t="s">
        <v>1651</v>
      </c>
      <c r="D79" s="52" t="s">
        <v>1624</v>
      </c>
      <c r="E79" s="52" t="s">
        <v>1982</v>
      </c>
      <c r="F79" s="52" t="s">
        <v>1196</v>
      </c>
      <c r="G79" s="18">
        <f>1250+2500</f>
        <v>3750</v>
      </c>
    </row>
    <row r="80" spans="1:7" ht="24">
      <c r="A80" s="35" t="s">
        <v>772</v>
      </c>
      <c r="B80" s="51" t="s">
        <v>106</v>
      </c>
      <c r="C80" s="52" t="s">
        <v>1651</v>
      </c>
      <c r="D80" s="52" t="s">
        <v>1624</v>
      </c>
      <c r="E80" s="52" t="s">
        <v>1982</v>
      </c>
      <c r="F80" s="52" t="s">
        <v>1196</v>
      </c>
      <c r="G80" s="18">
        <f>10800-300+550+111.1+84</f>
        <v>11245.1</v>
      </c>
    </row>
    <row r="81" spans="1:7" ht="24">
      <c r="A81" s="35" t="s">
        <v>191</v>
      </c>
      <c r="B81" s="51" t="s">
        <v>106</v>
      </c>
      <c r="C81" s="52" t="s">
        <v>1651</v>
      </c>
      <c r="D81" s="52" t="s">
        <v>1624</v>
      </c>
      <c r="E81" s="52" t="s">
        <v>1982</v>
      </c>
      <c r="F81" s="52" t="s">
        <v>1196</v>
      </c>
      <c r="G81" s="18">
        <f>G82+G83</f>
        <v>84077.20000000001</v>
      </c>
    </row>
    <row r="82" spans="1:7" ht="24">
      <c r="A82" s="35" t="s">
        <v>1033</v>
      </c>
      <c r="B82" s="51" t="s">
        <v>106</v>
      </c>
      <c r="C82" s="52" t="s">
        <v>1651</v>
      </c>
      <c r="D82" s="52" t="s">
        <v>1624</v>
      </c>
      <c r="E82" s="52" t="s">
        <v>1982</v>
      </c>
      <c r="F82" s="52" t="s">
        <v>1196</v>
      </c>
      <c r="G82" s="18">
        <f>83334.2-355.4-97.5-425.2</f>
        <v>82456.1</v>
      </c>
    </row>
    <row r="83" spans="1:7" ht="24">
      <c r="A83" s="35" t="s">
        <v>192</v>
      </c>
      <c r="B83" s="51" t="s">
        <v>106</v>
      </c>
      <c r="C83" s="52" t="s">
        <v>1651</v>
      </c>
      <c r="D83" s="52" t="s">
        <v>1624</v>
      </c>
      <c r="E83" s="52" t="s">
        <v>1982</v>
      </c>
      <c r="F83" s="52" t="s">
        <v>1196</v>
      </c>
      <c r="G83" s="18">
        <f>743+355.4+97.5+425.2</f>
        <v>1621.1000000000001</v>
      </c>
    </row>
    <row r="84" spans="1:7" ht="36">
      <c r="A84" s="16" t="s">
        <v>1661</v>
      </c>
      <c r="B84" s="51" t="s">
        <v>106</v>
      </c>
      <c r="C84" s="52" t="s">
        <v>1651</v>
      </c>
      <c r="D84" s="52" t="s">
        <v>1624</v>
      </c>
      <c r="E84" s="52" t="s">
        <v>1028</v>
      </c>
      <c r="F84" s="52" t="s">
        <v>575</v>
      </c>
      <c r="G84" s="18">
        <f>G85+G87</f>
        <v>1528</v>
      </c>
    </row>
    <row r="85" spans="1:7" ht="24">
      <c r="A85" s="16" t="s">
        <v>270</v>
      </c>
      <c r="B85" s="51" t="s">
        <v>106</v>
      </c>
      <c r="C85" s="52" t="s">
        <v>1651</v>
      </c>
      <c r="D85" s="52" t="s">
        <v>1624</v>
      </c>
      <c r="E85" s="52" t="s">
        <v>1028</v>
      </c>
      <c r="F85" s="52" t="s">
        <v>271</v>
      </c>
      <c r="G85" s="18">
        <f>G86</f>
        <v>177</v>
      </c>
    </row>
    <row r="86" spans="1:7" ht="24">
      <c r="A86" s="16" t="s">
        <v>269</v>
      </c>
      <c r="B86" s="51" t="s">
        <v>106</v>
      </c>
      <c r="C86" s="52" t="s">
        <v>1651</v>
      </c>
      <c r="D86" s="52" t="s">
        <v>1624</v>
      </c>
      <c r="E86" s="52" t="s">
        <v>1028</v>
      </c>
      <c r="F86" s="52" t="s">
        <v>570</v>
      </c>
      <c r="G86" s="18">
        <f>139+38</f>
        <v>177</v>
      </c>
    </row>
    <row r="87" spans="1:7" ht="24">
      <c r="A87" s="16" t="s">
        <v>396</v>
      </c>
      <c r="B87" s="51" t="s">
        <v>106</v>
      </c>
      <c r="C87" s="52" t="s">
        <v>1651</v>
      </c>
      <c r="D87" s="52" t="s">
        <v>1624</v>
      </c>
      <c r="E87" s="52" t="s">
        <v>1028</v>
      </c>
      <c r="F87" s="52" t="s">
        <v>1433</v>
      </c>
      <c r="G87" s="18">
        <f>G88</f>
        <v>1351</v>
      </c>
    </row>
    <row r="88" spans="1:7" ht="24">
      <c r="A88" s="16" t="s">
        <v>395</v>
      </c>
      <c r="B88" s="51" t="s">
        <v>106</v>
      </c>
      <c r="C88" s="52" t="s">
        <v>1651</v>
      </c>
      <c r="D88" s="52" t="s">
        <v>1624</v>
      </c>
      <c r="E88" s="52" t="s">
        <v>1028</v>
      </c>
      <c r="F88" s="52" t="s">
        <v>1434</v>
      </c>
      <c r="G88" s="18">
        <f>1389-38</f>
        <v>1351</v>
      </c>
    </row>
    <row r="89" spans="1:7" ht="49.5" customHeight="1">
      <c r="A89" s="16" t="s">
        <v>2001</v>
      </c>
      <c r="B89" s="51" t="s">
        <v>106</v>
      </c>
      <c r="C89" s="52" t="s">
        <v>1651</v>
      </c>
      <c r="D89" s="52" t="s">
        <v>1624</v>
      </c>
      <c r="E89" s="52" t="s">
        <v>1084</v>
      </c>
      <c r="F89" s="52" t="s">
        <v>575</v>
      </c>
      <c r="G89" s="18">
        <f>G90+G92</f>
        <v>14489</v>
      </c>
    </row>
    <row r="90" spans="1:7" ht="24">
      <c r="A90" s="16" t="s">
        <v>270</v>
      </c>
      <c r="B90" s="51" t="s">
        <v>106</v>
      </c>
      <c r="C90" s="52" t="s">
        <v>1651</v>
      </c>
      <c r="D90" s="52" t="s">
        <v>1624</v>
      </c>
      <c r="E90" s="52" t="s">
        <v>1084</v>
      </c>
      <c r="F90" s="52" t="s">
        <v>271</v>
      </c>
      <c r="G90" s="18">
        <f>G91</f>
        <v>470</v>
      </c>
    </row>
    <row r="91" spans="1:7" ht="24">
      <c r="A91" s="16" t="s">
        <v>269</v>
      </c>
      <c r="B91" s="51" t="s">
        <v>106</v>
      </c>
      <c r="C91" s="52" t="s">
        <v>1651</v>
      </c>
      <c r="D91" s="52" t="s">
        <v>1624</v>
      </c>
      <c r="E91" s="52" t="s">
        <v>1084</v>
      </c>
      <c r="F91" s="52" t="s">
        <v>570</v>
      </c>
      <c r="G91" s="18">
        <v>470</v>
      </c>
    </row>
    <row r="92" spans="1:7" ht="24">
      <c r="A92" s="16" t="s">
        <v>396</v>
      </c>
      <c r="B92" s="51" t="s">
        <v>106</v>
      </c>
      <c r="C92" s="52" t="s">
        <v>1651</v>
      </c>
      <c r="D92" s="52" t="s">
        <v>1624</v>
      </c>
      <c r="E92" s="52" t="s">
        <v>1084</v>
      </c>
      <c r="F92" s="52" t="s">
        <v>1433</v>
      </c>
      <c r="G92" s="18">
        <f>G93</f>
        <v>14019</v>
      </c>
    </row>
    <row r="93" spans="1:7" ht="24">
      <c r="A93" s="16" t="s">
        <v>395</v>
      </c>
      <c r="B93" s="51" t="s">
        <v>106</v>
      </c>
      <c r="C93" s="52" t="s">
        <v>1651</v>
      </c>
      <c r="D93" s="52" t="s">
        <v>1624</v>
      </c>
      <c r="E93" s="52" t="s">
        <v>1084</v>
      </c>
      <c r="F93" s="52" t="s">
        <v>1434</v>
      </c>
      <c r="G93" s="18">
        <v>14019</v>
      </c>
    </row>
    <row r="94" spans="1:7" ht="15">
      <c r="A94" s="29" t="s">
        <v>724</v>
      </c>
      <c r="B94" s="51" t="s">
        <v>106</v>
      </c>
      <c r="C94" s="15" t="s">
        <v>1651</v>
      </c>
      <c r="D94" s="15" t="s">
        <v>923</v>
      </c>
      <c r="E94" s="15"/>
      <c r="F94" s="15"/>
      <c r="G94" s="18">
        <f>G95+G99+G137+G143+G126+G181+G157+G150</f>
        <v>1181347.2</v>
      </c>
    </row>
    <row r="95" spans="1:7" ht="26.25" customHeight="1">
      <c r="A95" s="191" t="s">
        <v>645</v>
      </c>
      <c r="B95" s="51" t="s">
        <v>106</v>
      </c>
      <c r="C95" s="15" t="s">
        <v>1651</v>
      </c>
      <c r="D95" s="15" t="s">
        <v>923</v>
      </c>
      <c r="E95" s="15" t="s">
        <v>15</v>
      </c>
      <c r="F95" s="15"/>
      <c r="G95" s="18">
        <f>G96</f>
        <v>3000</v>
      </c>
    </row>
    <row r="96" spans="1:7" ht="31.5" customHeight="1">
      <c r="A96" s="118" t="s">
        <v>1173</v>
      </c>
      <c r="B96" s="51" t="s">
        <v>106</v>
      </c>
      <c r="C96" s="15" t="s">
        <v>1651</v>
      </c>
      <c r="D96" s="15" t="s">
        <v>923</v>
      </c>
      <c r="E96" s="15" t="s">
        <v>15</v>
      </c>
      <c r="F96" s="15" t="s">
        <v>738</v>
      </c>
      <c r="G96" s="18">
        <f>G97+G98</f>
        <v>3000</v>
      </c>
    </row>
    <row r="97" spans="1:7" ht="40.5" customHeight="1">
      <c r="A97" s="118" t="s">
        <v>572</v>
      </c>
      <c r="B97" s="51" t="s">
        <v>106</v>
      </c>
      <c r="C97" s="15" t="s">
        <v>1651</v>
      </c>
      <c r="D97" s="15" t="s">
        <v>923</v>
      </c>
      <c r="E97" s="15" t="s">
        <v>15</v>
      </c>
      <c r="F97" s="15" t="s">
        <v>571</v>
      </c>
      <c r="G97" s="18">
        <f>2000+1000</f>
        <v>3000</v>
      </c>
    </row>
    <row r="98" spans="1:7" ht="34.5" customHeight="1" hidden="1">
      <c r="A98" s="35" t="s">
        <v>1629</v>
      </c>
      <c r="B98" s="51" t="s">
        <v>106</v>
      </c>
      <c r="C98" s="15" t="s">
        <v>1651</v>
      </c>
      <c r="D98" s="15" t="s">
        <v>923</v>
      </c>
      <c r="E98" s="15" t="s">
        <v>15</v>
      </c>
      <c r="F98" s="15" t="s">
        <v>956</v>
      </c>
      <c r="G98" s="18"/>
    </row>
    <row r="99" spans="1:7" ht="17.25" customHeight="1">
      <c r="A99" s="30" t="s">
        <v>904</v>
      </c>
      <c r="B99" s="51" t="s">
        <v>106</v>
      </c>
      <c r="C99" s="15" t="s">
        <v>1651</v>
      </c>
      <c r="D99" s="15" t="s">
        <v>923</v>
      </c>
      <c r="E99" s="15" t="s">
        <v>1964</v>
      </c>
      <c r="F99" s="15"/>
      <c r="G99" s="18">
        <f>SUM(G100+G113+G116+G107)</f>
        <v>781330.6</v>
      </c>
    </row>
    <row r="100" spans="1:7" ht="108">
      <c r="A100" s="35" t="s">
        <v>90</v>
      </c>
      <c r="B100" s="51" t="s">
        <v>106</v>
      </c>
      <c r="C100" s="15" t="s">
        <v>1651</v>
      </c>
      <c r="D100" s="15" t="s">
        <v>923</v>
      </c>
      <c r="E100" s="15" t="s">
        <v>604</v>
      </c>
      <c r="F100" s="15" t="s">
        <v>575</v>
      </c>
      <c r="G100" s="18">
        <f>G101+G104</f>
        <v>744313.6</v>
      </c>
    </row>
    <row r="101" spans="1:7" ht="24">
      <c r="A101" s="16" t="s">
        <v>270</v>
      </c>
      <c r="B101" s="51" t="s">
        <v>106</v>
      </c>
      <c r="C101" s="15" t="s">
        <v>1651</v>
      </c>
      <c r="D101" s="15" t="s">
        <v>923</v>
      </c>
      <c r="E101" s="15" t="s">
        <v>604</v>
      </c>
      <c r="F101" s="15" t="s">
        <v>271</v>
      </c>
      <c r="G101" s="18">
        <f>G102+G103</f>
        <v>27562.6</v>
      </c>
    </row>
    <row r="102" spans="1:7" ht="24">
      <c r="A102" s="16" t="s">
        <v>269</v>
      </c>
      <c r="B102" s="51" t="s">
        <v>106</v>
      </c>
      <c r="C102" s="15" t="s">
        <v>1651</v>
      </c>
      <c r="D102" s="15" t="s">
        <v>923</v>
      </c>
      <c r="E102" s="15" t="s">
        <v>604</v>
      </c>
      <c r="F102" s="15" t="s">
        <v>570</v>
      </c>
      <c r="G102" s="18">
        <f>17906+6269+802.6+2250-17.3</f>
        <v>27210.3</v>
      </c>
    </row>
    <row r="103" spans="1:7" ht="24">
      <c r="A103" s="16" t="s">
        <v>1945</v>
      </c>
      <c r="B103" s="51" t="s">
        <v>106</v>
      </c>
      <c r="C103" s="15" t="s">
        <v>1651</v>
      </c>
      <c r="D103" s="15" t="s">
        <v>923</v>
      </c>
      <c r="E103" s="15" t="s">
        <v>604</v>
      </c>
      <c r="F103" s="15" t="s">
        <v>180</v>
      </c>
      <c r="G103" s="18">
        <f>335+17.3</f>
        <v>352.3</v>
      </c>
    </row>
    <row r="104" spans="1:7" ht="24">
      <c r="A104" s="16" t="s">
        <v>396</v>
      </c>
      <c r="B104" s="51" t="s">
        <v>106</v>
      </c>
      <c r="C104" s="15" t="s">
        <v>1651</v>
      </c>
      <c r="D104" s="15" t="s">
        <v>923</v>
      </c>
      <c r="E104" s="15" t="s">
        <v>604</v>
      </c>
      <c r="F104" s="15" t="s">
        <v>1433</v>
      </c>
      <c r="G104" s="18">
        <f>G105+G106</f>
        <v>716751</v>
      </c>
    </row>
    <row r="105" spans="1:7" ht="24">
      <c r="A105" s="16" t="s">
        <v>395</v>
      </c>
      <c r="B105" s="51" t="s">
        <v>106</v>
      </c>
      <c r="C105" s="15" t="s">
        <v>1651</v>
      </c>
      <c r="D105" s="15" t="s">
        <v>923</v>
      </c>
      <c r="E105" s="15" t="s">
        <v>604</v>
      </c>
      <c r="F105" s="15" t="s">
        <v>1434</v>
      </c>
      <c r="G105" s="18">
        <f>677217-25331+13.5+4835.5+39422-1083.3</f>
        <v>695073.7</v>
      </c>
    </row>
    <row r="106" spans="1:7" ht="24">
      <c r="A106" s="16" t="s">
        <v>1947</v>
      </c>
      <c r="B106" s="51" t="s">
        <v>106</v>
      </c>
      <c r="C106" s="15" t="s">
        <v>1651</v>
      </c>
      <c r="D106" s="15" t="s">
        <v>923</v>
      </c>
      <c r="E106" s="15" t="s">
        <v>604</v>
      </c>
      <c r="F106" s="15" t="s">
        <v>1196</v>
      </c>
      <c r="G106" s="18">
        <f>20594+1083.3</f>
        <v>21677.3</v>
      </c>
    </row>
    <row r="107" spans="1:7" ht="36">
      <c r="A107" s="35" t="s">
        <v>976</v>
      </c>
      <c r="B107" s="51" t="s">
        <v>106</v>
      </c>
      <c r="C107" s="15" t="s">
        <v>1651</v>
      </c>
      <c r="D107" s="15" t="s">
        <v>923</v>
      </c>
      <c r="E107" s="15" t="s">
        <v>606</v>
      </c>
      <c r="F107" s="15" t="s">
        <v>575</v>
      </c>
      <c r="G107" s="18">
        <f>G108+G110+G112</f>
        <v>35332</v>
      </c>
    </row>
    <row r="108" spans="1:7" ht="24">
      <c r="A108" s="16" t="s">
        <v>270</v>
      </c>
      <c r="B108" s="51" t="s">
        <v>106</v>
      </c>
      <c r="C108" s="15" t="s">
        <v>1651</v>
      </c>
      <c r="D108" s="15" t="s">
        <v>923</v>
      </c>
      <c r="E108" s="15" t="s">
        <v>606</v>
      </c>
      <c r="F108" s="15" t="s">
        <v>271</v>
      </c>
      <c r="G108" s="18">
        <f>G109</f>
        <v>281</v>
      </c>
    </row>
    <row r="109" spans="1:7" ht="24">
      <c r="A109" s="16" t="s">
        <v>269</v>
      </c>
      <c r="B109" s="51" t="s">
        <v>106</v>
      </c>
      <c r="C109" s="15" t="s">
        <v>1651</v>
      </c>
      <c r="D109" s="15" t="s">
        <v>923</v>
      </c>
      <c r="E109" s="15" t="s">
        <v>606</v>
      </c>
      <c r="F109" s="15" t="s">
        <v>570</v>
      </c>
      <c r="G109" s="18">
        <v>281</v>
      </c>
    </row>
    <row r="110" spans="1:7" ht="24">
      <c r="A110" s="16" t="s">
        <v>396</v>
      </c>
      <c r="B110" s="51" t="s">
        <v>106</v>
      </c>
      <c r="C110" s="15" t="s">
        <v>1651</v>
      </c>
      <c r="D110" s="15" t="s">
        <v>923</v>
      </c>
      <c r="E110" s="15" t="s">
        <v>606</v>
      </c>
      <c r="F110" s="15" t="s">
        <v>1433</v>
      </c>
      <c r="G110" s="18">
        <f>G111</f>
        <v>35051</v>
      </c>
    </row>
    <row r="111" spans="1:7" ht="24">
      <c r="A111" s="16" t="s">
        <v>395</v>
      </c>
      <c r="B111" s="51" t="s">
        <v>106</v>
      </c>
      <c r="C111" s="15" t="s">
        <v>1651</v>
      </c>
      <c r="D111" s="15" t="s">
        <v>923</v>
      </c>
      <c r="E111" s="15" t="s">
        <v>606</v>
      </c>
      <c r="F111" s="15" t="s">
        <v>1434</v>
      </c>
      <c r="G111" s="18">
        <v>35051</v>
      </c>
    </row>
    <row r="112" spans="1:7" ht="24.75" hidden="1">
      <c r="A112" s="16" t="s">
        <v>1991</v>
      </c>
      <c r="B112" s="51" t="s">
        <v>106</v>
      </c>
      <c r="C112" s="15" t="s">
        <v>1651</v>
      </c>
      <c r="D112" s="15" t="s">
        <v>923</v>
      </c>
      <c r="E112" s="15" t="s">
        <v>606</v>
      </c>
      <c r="F112" s="15" t="s">
        <v>663</v>
      </c>
      <c r="G112" s="18">
        <f>109-109</f>
        <v>0</v>
      </c>
    </row>
    <row r="113" spans="1:7" ht="36">
      <c r="A113" s="35" t="s">
        <v>806</v>
      </c>
      <c r="B113" s="51" t="s">
        <v>106</v>
      </c>
      <c r="C113" s="15" t="s">
        <v>1651</v>
      </c>
      <c r="D113" s="15" t="s">
        <v>923</v>
      </c>
      <c r="E113" s="15" t="s">
        <v>677</v>
      </c>
      <c r="F113" s="15" t="s">
        <v>575</v>
      </c>
      <c r="G113" s="18">
        <f>G114</f>
        <v>684</v>
      </c>
    </row>
    <row r="114" spans="1:7" ht="24">
      <c r="A114" s="35" t="s">
        <v>108</v>
      </c>
      <c r="B114" s="51" t="s">
        <v>106</v>
      </c>
      <c r="C114" s="15" t="s">
        <v>1651</v>
      </c>
      <c r="D114" s="15" t="s">
        <v>923</v>
      </c>
      <c r="E114" s="15" t="s">
        <v>677</v>
      </c>
      <c r="F114" s="15" t="s">
        <v>30</v>
      </c>
      <c r="G114" s="18">
        <f>G115</f>
        <v>684</v>
      </c>
    </row>
    <row r="115" spans="1:7" ht="24">
      <c r="A115" s="16" t="s">
        <v>843</v>
      </c>
      <c r="B115" s="51" t="s">
        <v>106</v>
      </c>
      <c r="C115" s="15" t="s">
        <v>1651</v>
      </c>
      <c r="D115" s="15" t="s">
        <v>923</v>
      </c>
      <c r="E115" s="15" t="s">
        <v>677</v>
      </c>
      <c r="F115" s="15" t="s">
        <v>844</v>
      </c>
      <c r="G115" s="18">
        <v>684</v>
      </c>
    </row>
    <row r="116" spans="1:7" ht="24.75" customHeight="1">
      <c r="A116" s="16" t="s">
        <v>2002</v>
      </c>
      <c r="B116" s="51" t="s">
        <v>106</v>
      </c>
      <c r="C116" s="15" t="s">
        <v>1651</v>
      </c>
      <c r="D116" s="15" t="s">
        <v>923</v>
      </c>
      <c r="E116" s="15" t="s">
        <v>1056</v>
      </c>
      <c r="F116" s="15" t="s">
        <v>575</v>
      </c>
      <c r="G116" s="18">
        <f>G117+G118+G120</f>
        <v>1001</v>
      </c>
    </row>
    <row r="117" spans="1:17" s="176" customFormat="1" ht="24.75" customHeight="1" hidden="1">
      <c r="A117" s="16" t="s">
        <v>955</v>
      </c>
      <c r="B117" s="175" t="s">
        <v>106</v>
      </c>
      <c r="C117" s="25" t="s">
        <v>1651</v>
      </c>
      <c r="D117" s="25" t="s">
        <v>923</v>
      </c>
      <c r="E117" s="25" t="s">
        <v>1056</v>
      </c>
      <c r="F117" s="25" t="s">
        <v>956</v>
      </c>
      <c r="G117" s="38"/>
      <c r="J117" s="177"/>
      <c r="K117" s="177"/>
      <c r="L117" s="177"/>
      <c r="M117" s="177"/>
      <c r="N117" s="177"/>
      <c r="O117" s="177"/>
      <c r="P117" s="177"/>
      <c r="Q117" s="177"/>
    </row>
    <row r="118" spans="1:7" ht="24.75" customHeight="1" hidden="1">
      <c r="A118" s="16" t="s">
        <v>270</v>
      </c>
      <c r="B118" s="51" t="s">
        <v>106</v>
      </c>
      <c r="C118" s="15" t="s">
        <v>1651</v>
      </c>
      <c r="D118" s="15" t="s">
        <v>923</v>
      </c>
      <c r="E118" s="15" t="s">
        <v>1056</v>
      </c>
      <c r="F118" s="15" t="s">
        <v>271</v>
      </c>
      <c r="G118" s="18">
        <f>G119</f>
        <v>0</v>
      </c>
    </row>
    <row r="119" spans="1:7" ht="24.75" customHeight="1" hidden="1">
      <c r="A119" s="16" t="s">
        <v>269</v>
      </c>
      <c r="B119" s="51" t="s">
        <v>106</v>
      </c>
      <c r="C119" s="15" t="s">
        <v>1651</v>
      </c>
      <c r="D119" s="15" t="s">
        <v>923</v>
      </c>
      <c r="E119" s="15" t="s">
        <v>1056</v>
      </c>
      <c r="F119" s="15" t="s">
        <v>570</v>
      </c>
      <c r="G119" s="18">
        <v>0</v>
      </c>
    </row>
    <row r="120" spans="1:7" ht="24">
      <c r="A120" s="16" t="s">
        <v>396</v>
      </c>
      <c r="B120" s="51" t="s">
        <v>106</v>
      </c>
      <c r="C120" s="15" t="s">
        <v>1651</v>
      </c>
      <c r="D120" s="15" t="s">
        <v>923</v>
      </c>
      <c r="E120" s="15" t="s">
        <v>1056</v>
      </c>
      <c r="F120" s="15" t="s">
        <v>1433</v>
      </c>
      <c r="G120" s="18">
        <f>G121+G122</f>
        <v>1001</v>
      </c>
    </row>
    <row r="121" spans="1:7" ht="24">
      <c r="A121" s="16" t="s">
        <v>395</v>
      </c>
      <c r="B121" s="51" t="s">
        <v>106</v>
      </c>
      <c r="C121" s="15" t="s">
        <v>1651</v>
      </c>
      <c r="D121" s="15" t="s">
        <v>923</v>
      </c>
      <c r="E121" s="15" t="s">
        <v>1056</v>
      </c>
      <c r="F121" s="15" t="s">
        <v>1434</v>
      </c>
      <c r="G121" s="18">
        <v>1001</v>
      </c>
    </row>
    <row r="122" spans="1:7" ht="24.75" hidden="1">
      <c r="A122" s="16" t="s">
        <v>1027</v>
      </c>
      <c r="B122" s="51" t="s">
        <v>106</v>
      </c>
      <c r="C122" s="15" t="s">
        <v>1651</v>
      </c>
      <c r="D122" s="15" t="s">
        <v>923</v>
      </c>
      <c r="E122" s="15" t="s">
        <v>1056</v>
      </c>
      <c r="F122" s="15" t="s">
        <v>1196</v>
      </c>
      <c r="G122" s="18">
        <f>G123+G124+G125</f>
        <v>0</v>
      </c>
    </row>
    <row r="123" spans="1:7" ht="48" hidden="1">
      <c r="A123" s="16" t="s">
        <v>767</v>
      </c>
      <c r="B123" s="51" t="s">
        <v>106</v>
      </c>
      <c r="C123" s="15" t="s">
        <v>1651</v>
      </c>
      <c r="D123" s="15" t="s">
        <v>923</v>
      </c>
      <c r="E123" s="15" t="s">
        <v>1056</v>
      </c>
      <c r="F123" s="15" t="s">
        <v>1196</v>
      </c>
      <c r="G123" s="18"/>
    </row>
    <row r="124" spans="1:7" ht="36" hidden="1">
      <c r="A124" s="16" t="s">
        <v>768</v>
      </c>
      <c r="B124" s="51" t="s">
        <v>106</v>
      </c>
      <c r="C124" s="15" t="s">
        <v>1651</v>
      </c>
      <c r="D124" s="15" t="s">
        <v>923</v>
      </c>
      <c r="E124" s="15" t="s">
        <v>1056</v>
      </c>
      <c r="F124" s="15" t="s">
        <v>1196</v>
      </c>
      <c r="G124" s="18"/>
    </row>
    <row r="125" spans="1:7" ht="24.75" hidden="1">
      <c r="A125" s="16" t="s">
        <v>1998</v>
      </c>
      <c r="B125" s="51" t="s">
        <v>106</v>
      </c>
      <c r="C125" s="15" t="s">
        <v>1651</v>
      </c>
      <c r="D125" s="15" t="s">
        <v>923</v>
      </c>
      <c r="E125" s="15" t="s">
        <v>1056</v>
      </c>
      <c r="F125" s="15" t="s">
        <v>1196</v>
      </c>
      <c r="G125" s="18"/>
    </row>
    <row r="126" spans="1:7" ht="14.25" customHeight="1">
      <c r="A126" s="30" t="s">
        <v>453</v>
      </c>
      <c r="B126" s="51" t="s">
        <v>106</v>
      </c>
      <c r="C126" s="15" t="s">
        <v>1651</v>
      </c>
      <c r="D126" s="15" t="s">
        <v>923</v>
      </c>
      <c r="E126" s="15" t="s">
        <v>2016</v>
      </c>
      <c r="F126" s="15"/>
      <c r="G126" s="18">
        <f>G127+G130+G134</f>
        <v>55754.8</v>
      </c>
    </row>
    <row r="127" spans="1:7" ht="114" customHeight="1">
      <c r="A127" s="35" t="s">
        <v>90</v>
      </c>
      <c r="B127" s="51" t="s">
        <v>106</v>
      </c>
      <c r="C127" s="15" t="s">
        <v>1651</v>
      </c>
      <c r="D127" s="15" t="s">
        <v>923</v>
      </c>
      <c r="E127" s="15" t="s">
        <v>678</v>
      </c>
      <c r="F127" s="15" t="s">
        <v>575</v>
      </c>
      <c r="G127" s="18">
        <f>G128</f>
        <v>53144</v>
      </c>
    </row>
    <row r="128" spans="1:7" ht="14.25" customHeight="1">
      <c r="A128" s="16" t="s">
        <v>270</v>
      </c>
      <c r="B128" s="51" t="s">
        <v>106</v>
      </c>
      <c r="C128" s="15" t="s">
        <v>1651</v>
      </c>
      <c r="D128" s="15" t="s">
        <v>923</v>
      </c>
      <c r="E128" s="15" t="s">
        <v>678</v>
      </c>
      <c r="F128" s="15" t="s">
        <v>271</v>
      </c>
      <c r="G128" s="18">
        <f>G129</f>
        <v>53144</v>
      </c>
    </row>
    <row r="129" spans="1:7" ht="24" customHeight="1">
      <c r="A129" s="16" t="s">
        <v>269</v>
      </c>
      <c r="B129" s="51" t="s">
        <v>106</v>
      </c>
      <c r="C129" s="15" t="s">
        <v>1651</v>
      </c>
      <c r="D129" s="15" t="s">
        <v>923</v>
      </c>
      <c r="E129" s="15" t="s">
        <v>678</v>
      </c>
      <c r="F129" s="15" t="s">
        <v>570</v>
      </c>
      <c r="G129" s="18">
        <f>28976+19062+2876.9+2240-10.9</f>
        <v>53144</v>
      </c>
    </row>
    <row r="130" spans="1:7" ht="96.75" customHeight="1">
      <c r="A130" s="35" t="s">
        <v>660</v>
      </c>
      <c r="B130" s="51" t="s">
        <v>106</v>
      </c>
      <c r="C130" s="15" t="s">
        <v>1651</v>
      </c>
      <c r="D130" s="15" t="s">
        <v>923</v>
      </c>
      <c r="E130" s="15" t="s">
        <v>678</v>
      </c>
      <c r="F130" s="15" t="s">
        <v>575</v>
      </c>
      <c r="G130" s="18">
        <f>G131</f>
        <v>215.9</v>
      </c>
    </row>
    <row r="131" spans="1:7" ht="15" customHeight="1">
      <c r="A131" s="16" t="s">
        <v>270</v>
      </c>
      <c r="B131" s="51" t="s">
        <v>106</v>
      </c>
      <c r="C131" s="15" t="s">
        <v>1651</v>
      </c>
      <c r="D131" s="15" t="s">
        <v>923</v>
      </c>
      <c r="E131" s="15" t="s">
        <v>678</v>
      </c>
      <c r="F131" s="15" t="s">
        <v>271</v>
      </c>
      <c r="G131" s="18">
        <f>G133</f>
        <v>215.9</v>
      </c>
    </row>
    <row r="132" spans="1:7" ht="24.75" hidden="1">
      <c r="A132" s="16" t="s">
        <v>269</v>
      </c>
      <c r="B132" s="51" t="s">
        <v>106</v>
      </c>
      <c r="C132" s="15" t="s">
        <v>1651</v>
      </c>
      <c r="D132" s="15" t="s">
        <v>923</v>
      </c>
      <c r="E132" s="15" t="s">
        <v>678</v>
      </c>
      <c r="F132" s="15" t="s">
        <v>570</v>
      </c>
      <c r="G132" s="18">
        <v>0</v>
      </c>
    </row>
    <row r="133" spans="1:7" ht="24">
      <c r="A133" s="16" t="s">
        <v>1945</v>
      </c>
      <c r="B133" s="51" t="s">
        <v>106</v>
      </c>
      <c r="C133" s="15" t="s">
        <v>1651</v>
      </c>
      <c r="D133" s="15" t="s">
        <v>923</v>
      </c>
      <c r="E133" s="15" t="s">
        <v>678</v>
      </c>
      <c r="F133" s="15" t="s">
        <v>180</v>
      </c>
      <c r="G133" s="18">
        <f>205+10.9</f>
        <v>215.9</v>
      </c>
    </row>
    <row r="134" spans="1:7" ht="48">
      <c r="A134" s="16" t="s">
        <v>849</v>
      </c>
      <c r="B134" s="51" t="s">
        <v>106</v>
      </c>
      <c r="C134" s="15" t="s">
        <v>1651</v>
      </c>
      <c r="D134" s="15" t="s">
        <v>923</v>
      </c>
      <c r="E134" s="15" t="s">
        <v>679</v>
      </c>
      <c r="F134" s="15" t="s">
        <v>575</v>
      </c>
      <c r="G134" s="18">
        <f>G135</f>
        <v>2394.9</v>
      </c>
    </row>
    <row r="135" spans="1:7" ht="24" customHeight="1">
      <c r="A135" s="16" t="s">
        <v>270</v>
      </c>
      <c r="B135" s="51" t="s">
        <v>106</v>
      </c>
      <c r="C135" s="15" t="s">
        <v>1651</v>
      </c>
      <c r="D135" s="15" t="s">
        <v>923</v>
      </c>
      <c r="E135" s="15" t="s">
        <v>679</v>
      </c>
      <c r="F135" s="15" t="s">
        <v>271</v>
      </c>
      <c r="G135" s="18">
        <f>G136</f>
        <v>2394.9</v>
      </c>
    </row>
    <row r="136" spans="1:7" ht="19.5" customHeight="1">
      <c r="A136" s="16" t="s">
        <v>269</v>
      </c>
      <c r="B136" s="51" t="s">
        <v>106</v>
      </c>
      <c r="C136" s="15" t="s">
        <v>1651</v>
      </c>
      <c r="D136" s="15" t="s">
        <v>923</v>
      </c>
      <c r="E136" s="15" t="s">
        <v>679</v>
      </c>
      <c r="F136" s="15" t="s">
        <v>570</v>
      </c>
      <c r="G136" s="18">
        <f>2361+33.9</f>
        <v>2394.9</v>
      </c>
    </row>
    <row r="137" spans="1:7" ht="15.75" hidden="1">
      <c r="A137" s="30" t="s">
        <v>905</v>
      </c>
      <c r="B137" s="51" t="s">
        <v>106</v>
      </c>
      <c r="C137" s="15" t="s">
        <v>1651</v>
      </c>
      <c r="D137" s="15" t="s">
        <v>923</v>
      </c>
      <c r="E137" s="15" t="s">
        <v>1943</v>
      </c>
      <c r="F137" s="15"/>
      <c r="G137" s="18">
        <f>G138</f>
        <v>0</v>
      </c>
    </row>
    <row r="138" spans="1:7" ht="24.75" hidden="1">
      <c r="A138" s="16" t="s">
        <v>2002</v>
      </c>
      <c r="B138" s="51" t="s">
        <v>106</v>
      </c>
      <c r="C138" s="15" t="s">
        <v>1651</v>
      </c>
      <c r="D138" s="15" t="s">
        <v>923</v>
      </c>
      <c r="E138" s="15" t="s">
        <v>957</v>
      </c>
      <c r="F138" s="15" t="s">
        <v>575</v>
      </c>
      <c r="G138" s="18">
        <f>G139+G141</f>
        <v>0</v>
      </c>
    </row>
    <row r="139" spans="1:7" ht="24.75" hidden="1">
      <c r="A139" s="16" t="s">
        <v>270</v>
      </c>
      <c r="B139" s="51" t="s">
        <v>106</v>
      </c>
      <c r="C139" s="15" t="s">
        <v>1651</v>
      </c>
      <c r="D139" s="15" t="s">
        <v>923</v>
      </c>
      <c r="E139" s="15" t="s">
        <v>957</v>
      </c>
      <c r="F139" s="15" t="s">
        <v>271</v>
      </c>
      <c r="G139" s="18">
        <f>G140</f>
        <v>0</v>
      </c>
    </row>
    <row r="140" spans="1:7" ht="24.75" hidden="1">
      <c r="A140" s="16" t="s">
        <v>269</v>
      </c>
      <c r="B140" s="51" t="s">
        <v>106</v>
      </c>
      <c r="C140" s="15" t="s">
        <v>1651</v>
      </c>
      <c r="D140" s="15" t="s">
        <v>923</v>
      </c>
      <c r="E140" s="15" t="s">
        <v>957</v>
      </c>
      <c r="F140" s="15" t="s">
        <v>570</v>
      </c>
      <c r="G140" s="18">
        <f>48099-48099</f>
        <v>0</v>
      </c>
    </row>
    <row r="141" spans="1:7" ht="24.75" hidden="1">
      <c r="A141" s="16" t="s">
        <v>396</v>
      </c>
      <c r="B141" s="51" t="s">
        <v>106</v>
      </c>
      <c r="C141" s="15" t="s">
        <v>1651</v>
      </c>
      <c r="D141" s="15" t="s">
        <v>923</v>
      </c>
      <c r="E141" s="15" t="s">
        <v>957</v>
      </c>
      <c r="F141" s="15" t="s">
        <v>1433</v>
      </c>
      <c r="G141" s="18">
        <f>G142</f>
        <v>0</v>
      </c>
    </row>
    <row r="142" spans="1:7" ht="24.75" hidden="1">
      <c r="A142" s="16" t="s">
        <v>395</v>
      </c>
      <c r="B142" s="51" t="s">
        <v>106</v>
      </c>
      <c r="C142" s="15" t="s">
        <v>1651</v>
      </c>
      <c r="D142" s="15" t="s">
        <v>923</v>
      </c>
      <c r="E142" s="15" t="s">
        <v>957</v>
      </c>
      <c r="F142" s="15" t="s">
        <v>1434</v>
      </c>
      <c r="G142" s="18">
        <f>9151-9151</f>
        <v>0</v>
      </c>
    </row>
    <row r="143" spans="1:7" ht="15">
      <c r="A143" s="30" t="s">
        <v>906</v>
      </c>
      <c r="B143" s="51" t="s">
        <v>106</v>
      </c>
      <c r="C143" s="15" t="s">
        <v>1651</v>
      </c>
      <c r="D143" s="15" t="s">
        <v>923</v>
      </c>
      <c r="E143" s="15" t="s">
        <v>1944</v>
      </c>
      <c r="F143" s="15"/>
      <c r="G143" s="18">
        <f>G144+G147</f>
        <v>3584.4</v>
      </c>
    </row>
    <row r="144" spans="1:7" ht="48">
      <c r="A144" s="35" t="s">
        <v>1897</v>
      </c>
      <c r="B144" s="51" t="s">
        <v>106</v>
      </c>
      <c r="C144" s="15" t="s">
        <v>1651</v>
      </c>
      <c r="D144" s="15" t="s">
        <v>923</v>
      </c>
      <c r="E144" s="15" t="s">
        <v>680</v>
      </c>
      <c r="F144" s="15" t="s">
        <v>575</v>
      </c>
      <c r="G144" s="18">
        <f>G145</f>
        <v>3584.4</v>
      </c>
    </row>
    <row r="145" spans="1:7" ht="24">
      <c r="A145" s="16" t="s">
        <v>270</v>
      </c>
      <c r="B145" s="51" t="s">
        <v>106</v>
      </c>
      <c r="C145" s="15" t="s">
        <v>1651</v>
      </c>
      <c r="D145" s="15" t="s">
        <v>923</v>
      </c>
      <c r="E145" s="15" t="s">
        <v>680</v>
      </c>
      <c r="F145" s="15" t="s">
        <v>271</v>
      </c>
      <c r="G145" s="18">
        <f>G146</f>
        <v>3584.4</v>
      </c>
    </row>
    <row r="146" spans="1:7" ht="24">
      <c r="A146" s="16" t="s">
        <v>269</v>
      </c>
      <c r="B146" s="51" t="s">
        <v>106</v>
      </c>
      <c r="C146" s="15" t="s">
        <v>1651</v>
      </c>
      <c r="D146" s="15" t="s">
        <v>923</v>
      </c>
      <c r="E146" s="15" t="s">
        <v>680</v>
      </c>
      <c r="F146" s="15" t="s">
        <v>570</v>
      </c>
      <c r="G146" s="18">
        <f>3509+75.4</f>
        <v>3584.4</v>
      </c>
    </row>
    <row r="147" spans="1:7" ht="24.75" hidden="1">
      <c r="A147" s="16" t="s">
        <v>2002</v>
      </c>
      <c r="B147" s="51" t="s">
        <v>106</v>
      </c>
      <c r="C147" s="15" t="s">
        <v>1651</v>
      </c>
      <c r="D147" s="15" t="s">
        <v>923</v>
      </c>
      <c r="E147" s="15" t="s">
        <v>958</v>
      </c>
      <c r="F147" s="15" t="s">
        <v>575</v>
      </c>
      <c r="G147" s="18">
        <f>G148</f>
        <v>0</v>
      </c>
    </row>
    <row r="148" spans="1:7" ht="24.75" hidden="1">
      <c r="A148" s="16" t="s">
        <v>270</v>
      </c>
      <c r="B148" s="51" t="s">
        <v>106</v>
      </c>
      <c r="C148" s="15" t="s">
        <v>1651</v>
      </c>
      <c r="D148" s="15" t="s">
        <v>923</v>
      </c>
      <c r="E148" s="15" t="s">
        <v>958</v>
      </c>
      <c r="F148" s="15" t="s">
        <v>271</v>
      </c>
      <c r="G148" s="18">
        <f>G149</f>
        <v>0</v>
      </c>
    </row>
    <row r="149" spans="1:7" ht="24.75" hidden="1">
      <c r="A149" s="16" t="s">
        <v>269</v>
      </c>
      <c r="B149" s="51" t="s">
        <v>106</v>
      </c>
      <c r="C149" s="15" t="s">
        <v>1651</v>
      </c>
      <c r="D149" s="15" t="s">
        <v>923</v>
      </c>
      <c r="E149" s="15" t="s">
        <v>958</v>
      </c>
      <c r="F149" s="15" t="s">
        <v>570</v>
      </c>
      <c r="G149" s="18">
        <f>21147-21147</f>
        <v>0</v>
      </c>
    </row>
    <row r="150" spans="1:7" ht="15">
      <c r="A150" s="16" t="s">
        <v>279</v>
      </c>
      <c r="B150" s="51" t="s">
        <v>106</v>
      </c>
      <c r="C150" s="15" t="s">
        <v>1651</v>
      </c>
      <c r="D150" s="15" t="s">
        <v>923</v>
      </c>
      <c r="E150" s="15" t="s">
        <v>278</v>
      </c>
      <c r="F150" s="15"/>
      <c r="G150" s="18">
        <f>G151+G154</f>
        <v>15169</v>
      </c>
    </row>
    <row r="151" spans="1:7" ht="24">
      <c r="A151" s="16" t="s">
        <v>270</v>
      </c>
      <c r="B151" s="51" t="s">
        <v>106</v>
      </c>
      <c r="C151" s="15" t="s">
        <v>1651</v>
      </c>
      <c r="D151" s="15" t="s">
        <v>923</v>
      </c>
      <c r="E151" s="15" t="s">
        <v>278</v>
      </c>
      <c r="F151" s="15" t="s">
        <v>271</v>
      </c>
      <c r="G151" s="18">
        <f>G152</f>
        <v>3679</v>
      </c>
    </row>
    <row r="152" spans="1:7" ht="24">
      <c r="A152" s="16" t="s">
        <v>269</v>
      </c>
      <c r="B152" s="51" t="s">
        <v>106</v>
      </c>
      <c r="C152" s="15" t="s">
        <v>1651</v>
      </c>
      <c r="D152" s="15" t="s">
        <v>923</v>
      </c>
      <c r="E152" s="15" t="s">
        <v>278</v>
      </c>
      <c r="F152" s="15" t="s">
        <v>180</v>
      </c>
      <c r="G152" s="18">
        <f>G153</f>
        <v>3679</v>
      </c>
    </row>
    <row r="153" spans="1:7" ht="24">
      <c r="A153" s="16" t="s">
        <v>605</v>
      </c>
      <c r="B153" s="51" t="s">
        <v>106</v>
      </c>
      <c r="C153" s="15" t="s">
        <v>1651</v>
      </c>
      <c r="D153" s="15" t="s">
        <v>923</v>
      </c>
      <c r="E153" s="15" t="s">
        <v>278</v>
      </c>
      <c r="F153" s="15" t="s">
        <v>180</v>
      </c>
      <c r="G153" s="18">
        <v>3679</v>
      </c>
    </row>
    <row r="154" spans="1:7" ht="24">
      <c r="A154" s="16" t="s">
        <v>396</v>
      </c>
      <c r="B154" s="51" t="s">
        <v>106</v>
      </c>
      <c r="C154" s="15" t="s">
        <v>1651</v>
      </c>
      <c r="D154" s="15" t="s">
        <v>923</v>
      </c>
      <c r="E154" s="15" t="s">
        <v>278</v>
      </c>
      <c r="F154" s="15" t="s">
        <v>1433</v>
      </c>
      <c r="G154" s="18">
        <f>G155</f>
        <v>11490</v>
      </c>
    </row>
    <row r="155" spans="1:7" ht="24">
      <c r="A155" s="16" t="s">
        <v>280</v>
      </c>
      <c r="B155" s="51" t="s">
        <v>106</v>
      </c>
      <c r="C155" s="15" t="s">
        <v>1651</v>
      </c>
      <c r="D155" s="15" t="s">
        <v>923</v>
      </c>
      <c r="E155" s="15" t="s">
        <v>278</v>
      </c>
      <c r="F155" s="15" t="s">
        <v>1196</v>
      </c>
      <c r="G155" s="18">
        <f>G156</f>
        <v>11490</v>
      </c>
    </row>
    <row r="156" spans="1:7" ht="24">
      <c r="A156" s="16" t="s">
        <v>1946</v>
      </c>
      <c r="B156" s="51" t="s">
        <v>106</v>
      </c>
      <c r="C156" s="15" t="s">
        <v>1651</v>
      </c>
      <c r="D156" s="15" t="s">
        <v>923</v>
      </c>
      <c r="E156" s="15" t="s">
        <v>278</v>
      </c>
      <c r="F156" s="15" t="s">
        <v>1196</v>
      </c>
      <c r="G156" s="18">
        <v>11490</v>
      </c>
    </row>
    <row r="157" spans="1:7" ht="15">
      <c r="A157" s="192" t="s">
        <v>1148</v>
      </c>
      <c r="B157" s="51" t="s">
        <v>106</v>
      </c>
      <c r="C157" s="15" t="s">
        <v>1651</v>
      </c>
      <c r="D157" s="15" t="s">
        <v>923</v>
      </c>
      <c r="E157" s="15" t="s">
        <v>1149</v>
      </c>
      <c r="F157" s="15"/>
      <c r="G157" s="18">
        <f>G158+G163+G169+G178+G174</f>
        <v>16172.5</v>
      </c>
    </row>
    <row r="158" spans="1:7" ht="24">
      <c r="A158" s="193" t="s">
        <v>155</v>
      </c>
      <c r="B158" s="51" t="s">
        <v>106</v>
      </c>
      <c r="C158" s="15" t="s">
        <v>1651</v>
      </c>
      <c r="D158" s="15" t="s">
        <v>923</v>
      </c>
      <c r="E158" s="15" t="s">
        <v>156</v>
      </c>
      <c r="F158" s="15"/>
      <c r="G158" s="18">
        <f>G159+G161</f>
        <v>8724</v>
      </c>
    </row>
    <row r="159" spans="1:7" ht="24">
      <c r="A159" s="16" t="s">
        <v>270</v>
      </c>
      <c r="B159" s="51" t="s">
        <v>106</v>
      </c>
      <c r="C159" s="15" t="s">
        <v>1651</v>
      </c>
      <c r="D159" s="15" t="s">
        <v>923</v>
      </c>
      <c r="E159" s="15" t="s">
        <v>156</v>
      </c>
      <c r="F159" s="15" t="s">
        <v>271</v>
      </c>
      <c r="G159" s="18">
        <f>G160</f>
        <v>146.8</v>
      </c>
    </row>
    <row r="160" spans="1:7" ht="24">
      <c r="A160" s="16" t="s">
        <v>269</v>
      </c>
      <c r="B160" s="51" t="s">
        <v>106</v>
      </c>
      <c r="C160" s="15" t="s">
        <v>1651</v>
      </c>
      <c r="D160" s="15" t="s">
        <v>923</v>
      </c>
      <c r="E160" s="15" t="s">
        <v>156</v>
      </c>
      <c r="F160" s="15" t="s">
        <v>570</v>
      </c>
      <c r="G160" s="18">
        <f>34+112.8</f>
        <v>146.8</v>
      </c>
    </row>
    <row r="161" spans="1:7" ht="24">
      <c r="A161" s="16" t="s">
        <v>396</v>
      </c>
      <c r="B161" s="51" t="s">
        <v>106</v>
      </c>
      <c r="C161" s="15" t="s">
        <v>1651</v>
      </c>
      <c r="D161" s="15" t="s">
        <v>923</v>
      </c>
      <c r="E161" s="15" t="s">
        <v>156</v>
      </c>
      <c r="F161" s="15" t="s">
        <v>1433</v>
      </c>
      <c r="G161" s="18">
        <f>G162</f>
        <v>8577.2</v>
      </c>
    </row>
    <row r="162" spans="1:7" ht="24">
      <c r="A162" s="16" t="s">
        <v>395</v>
      </c>
      <c r="B162" s="51" t="s">
        <v>106</v>
      </c>
      <c r="C162" s="15" t="s">
        <v>1651</v>
      </c>
      <c r="D162" s="15" t="s">
        <v>923</v>
      </c>
      <c r="E162" s="15" t="s">
        <v>156</v>
      </c>
      <c r="F162" s="15" t="s">
        <v>1434</v>
      </c>
      <c r="G162" s="18">
        <f>2147+6430.2</f>
        <v>8577.2</v>
      </c>
    </row>
    <row r="163" spans="1:7" ht="36">
      <c r="A163" s="35" t="s">
        <v>310</v>
      </c>
      <c r="B163" s="51" t="s">
        <v>106</v>
      </c>
      <c r="C163" s="15" t="s">
        <v>1651</v>
      </c>
      <c r="D163" s="15" t="s">
        <v>923</v>
      </c>
      <c r="E163" s="15" t="s">
        <v>789</v>
      </c>
      <c r="F163" s="15"/>
      <c r="G163" s="18">
        <f>G164</f>
        <v>1157.5</v>
      </c>
    </row>
    <row r="164" spans="1:7" ht="48">
      <c r="A164" s="35" t="s">
        <v>790</v>
      </c>
      <c r="B164" s="51" t="s">
        <v>106</v>
      </c>
      <c r="C164" s="15" t="s">
        <v>1651</v>
      </c>
      <c r="D164" s="15" t="s">
        <v>923</v>
      </c>
      <c r="E164" s="15" t="s">
        <v>791</v>
      </c>
      <c r="F164" s="15" t="s">
        <v>575</v>
      </c>
      <c r="G164" s="18">
        <f>G165+G167</f>
        <v>1157.5</v>
      </c>
    </row>
    <row r="165" spans="1:7" ht="24">
      <c r="A165" s="16" t="s">
        <v>270</v>
      </c>
      <c r="B165" s="51" t="s">
        <v>106</v>
      </c>
      <c r="C165" s="15" t="s">
        <v>1651</v>
      </c>
      <c r="D165" s="15" t="s">
        <v>923</v>
      </c>
      <c r="E165" s="15" t="s">
        <v>791</v>
      </c>
      <c r="F165" s="15" t="s">
        <v>271</v>
      </c>
      <c r="G165" s="18">
        <f>G166</f>
        <v>1027</v>
      </c>
    </row>
    <row r="166" spans="1:7" ht="24">
      <c r="A166" s="16" t="s">
        <v>269</v>
      </c>
      <c r="B166" s="51" t="s">
        <v>106</v>
      </c>
      <c r="C166" s="15" t="s">
        <v>1651</v>
      </c>
      <c r="D166" s="15" t="s">
        <v>923</v>
      </c>
      <c r="E166" s="15" t="s">
        <v>791</v>
      </c>
      <c r="F166" s="15" t="s">
        <v>570</v>
      </c>
      <c r="G166" s="18">
        <f>687.4+339.6</f>
        <v>1027</v>
      </c>
    </row>
    <row r="167" spans="1:7" ht="24">
      <c r="A167" s="16" t="s">
        <v>396</v>
      </c>
      <c r="B167" s="51" t="s">
        <v>106</v>
      </c>
      <c r="C167" s="15" t="s">
        <v>1651</v>
      </c>
      <c r="D167" s="15" t="s">
        <v>923</v>
      </c>
      <c r="E167" s="15" t="s">
        <v>791</v>
      </c>
      <c r="F167" s="15" t="s">
        <v>1433</v>
      </c>
      <c r="G167" s="18">
        <f>G168</f>
        <v>130.5</v>
      </c>
    </row>
    <row r="168" spans="1:7" ht="24">
      <c r="A168" s="16" t="s">
        <v>395</v>
      </c>
      <c r="B168" s="51" t="s">
        <v>106</v>
      </c>
      <c r="C168" s="15" t="s">
        <v>1651</v>
      </c>
      <c r="D168" s="15" t="s">
        <v>923</v>
      </c>
      <c r="E168" s="15" t="s">
        <v>791</v>
      </c>
      <c r="F168" s="15" t="s">
        <v>1434</v>
      </c>
      <c r="G168" s="18">
        <v>130.5</v>
      </c>
    </row>
    <row r="169" spans="1:7" ht="36">
      <c r="A169" s="16" t="s">
        <v>536</v>
      </c>
      <c r="B169" s="51" t="s">
        <v>106</v>
      </c>
      <c r="C169" s="15" t="s">
        <v>1651</v>
      </c>
      <c r="D169" s="15" t="s">
        <v>923</v>
      </c>
      <c r="E169" s="15" t="s">
        <v>1136</v>
      </c>
      <c r="F169" s="15" t="s">
        <v>575</v>
      </c>
      <c r="G169" s="18">
        <f>G170+G172</f>
        <v>791</v>
      </c>
    </row>
    <row r="170" spans="1:7" ht="24">
      <c r="A170" s="16" t="s">
        <v>270</v>
      </c>
      <c r="B170" s="51" t="s">
        <v>106</v>
      </c>
      <c r="C170" s="15" t="s">
        <v>1651</v>
      </c>
      <c r="D170" s="15" t="s">
        <v>923</v>
      </c>
      <c r="E170" s="15" t="s">
        <v>1136</v>
      </c>
      <c r="F170" s="15" t="s">
        <v>271</v>
      </c>
      <c r="G170" s="18">
        <f>G171</f>
        <v>269.5</v>
      </c>
    </row>
    <row r="171" spans="1:7" ht="24">
      <c r="A171" s="16" t="s">
        <v>269</v>
      </c>
      <c r="B171" s="51" t="s">
        <v>106</v>
      </c>
      <c r="C171" s="15" t="s">
        <v>1651</v>
      </c>
      <c r="D171" s="15" t="s">
        <v>923</v>
      </c>
      <c r="E171" s="15" t="s">
        <v>1136</v>
      </c>
      <c r="F171" s="15" t="s">
        <v>570</v>
      </c>
      <c r="G171" s="18">
        <v>269.5</v>
      </c>
    </row>
    <row r="172" spans="1:7" ht="24">
      <c r="A172" s="16" t="s">
        <v>396</v>
      </c>
      <c r="B172" s="51" t="s">
        <v>106</v>
      </c>
      <c r="C172" s="15" t="s">
        <v>1651</v>
      </c>
      <c r="D172" s="15" t="s">
        <v>923</v>
      </c>
      <c r="E172" s="15" t="s">
        <v>1136</v>
      </c>
      <c r="F172" s="15" t="s">
        <v>1433</v>
      </c>
      <c r="G172" s="18">
        <f>G173</f>
        <v>521.5</v>
      </c>
    </row>
    <row r="173" spans="1:7" ht="24">
      <c r="A173" s="16" t="s">
        <v>395</v>
      </c>
      <c r="B173" s="51" t="s">
        <v>106</v>
      </c>
      <c r="C173" s="15" t="s">
        <v>1651</v>
      </c>
      <c r="D173" s="15" t="s">
        <v>923</v>
      </c>
      <c r="E173" s="15" t="s">
        <v>1136</v>
      </c>
      <c r="F173" s="15" t="s">
        <v>1434</v>
      </c>
      <c r="G173" s="18">
        <v>521.5</v>
      </c>
    </row>
    <row r="174" spans="1:7" ht="72">
      <c r="A174" s="16" t="s">
        <v>312</v>
      </c>
      <c r="B174" s="51" t="s">
        <v>106</v>
      </c>
      <c r="C174" s="15" t="s">
        <v>1651</v>
      </c>
      <c r="D174" s="15" t="s">
        <v>923</v>
      </c>
      <c r="E174" s="15" t="s">
        <v>818</v>
      </c>
      <c r="F174" s="15" t="s">
        <v>575</v>
      </c>
      <c r="G174" s="18">
        <f>G175</f>
        <v>5500</v>
      </c>
    </row>
    <row r="175" spans="1:7" ht="24">
      <c r="A175" s="16" t="s">
        <v>396</v>
      </c>
      <c r="B175" s="51" t="s">
        <v>106</v>
      </c>
      <c r="C175" s="15" t="s">
        <v>1651</v>
      </c>
      <c r="D175" s="15" t="s">
        <v>923</v>
      </c>
      <c r="E175" s="15" t="s">
        <v>818</v>
      </c>
      <c r="F175" s="15" t="s">
        <v>1433</v>
      </c>
      <c r="G175" s="18">
        <f>G176</f>
        <v>5500</v>
      </c>
    </row>
    <row r="176" spans="1:7" ht="24">
      <c r="A176" s="16" t="s">
        <v>1027</v>
      </c>
      <c r="B176" s="51" t="s">
        <v>106</v>
      </c>
      <c r="C176" s="15" t="s">
        <v>1651</v>
      </c>
      <c r="D176" s="15" t="s">
        <v>923</v>
      </c>
      <c r="E176" s="15" t="s">
        <v>818</v>
      </c>
      <c r="F176" s="15" t="s">
        <v>1196</v>
      </c>
      <c r="G176" s="18">
        <f>G177</f>
        <v>5500</v>
      </c>
    </row>
    <row r="177" spans="1:7" ht="24">
      <c r="A177" s="16" t="s">
        <v>281</v>
      </c>
      <c r="B177" s="51" t="s">
        <v>106</v>
      </c>
      <c r="C177" s="15" t="s">
        <v>1651</v>
      </c>
      <c r="D177" s="15" t="s">
        <v>923</v>
      </c>
      <c r="E177" s="15" t="s">
        <v>818</v>
      </c>
      <c r="F177" s="15" t="s">
        <v>1196</v>
      </c>
      <c r="G177" s="18">
        <v>5500</v>
      </c>
    </row>
    <row r="178" spans="1:7" ht="60" hidden="1">
      <c r="A178" s="16" t="s">
        <v>694</v>
      </c>
      <c r="B178" s="51" t="s">
        <v>106</v>
      </c>
      <c r="C178" s="15" t="s">
        <v>1651</v>
      </c>
      <c r="D178" s="15" t="s">
        <v>923</v>
      </c>
      <c r="E178" s="15" t="s">
        <v>695</v>
      </c>
      <c r="F178" s="15" t="s">
        <v>575</v>
      </c>
      <c r="G178" s="18">
        <f>G179</f>
        <v>0</v>
      </c>
    </row>
    <row r="179" spans="1:7" ht="24.75" hidden="1">
      <c r="A179" s="16" t="s">
        <v>396</v>
      </c>
      <c r="B179" s="51" t="s">
        <v>106</v>
      </c>
      <c r="C179" s="15" t="s">
        <v>1651</v>
      </c>
      <c r="D179" s="15" t="s">
        <v>923</v>
      </c>
      <c r="E179" s="15" t="s">
        <v>695</v>
      </c>
      <c r="F179" s="15" t="s">
        <v>1433</v>
      </c>
      <c r="G179" s="18">
        <f>G180</f>
        <v>0</v>
      </c>
    </row>
    <row r="180" spans="1:7" ht="24.75" hidden="1">
      <c r="A180" s="16" t="s">
        <v>395</v>
      </c>
      <c r="B180" s="51" t="s">
        <v>106</v>
      </c>
      <c r="C180" s="15" t="s">
        <v>1651</v>
      </c>
      <c r="D180" s="15" t="s">
        <v>923</v>
      </c>
      <c r="E180" s="15" t="s">
        <v>695</v>
      </c>
      <c r="F180" s="15" t="s">
        <v>1434</v>
      </c>
      <c r="G180" s="18">
        <f>5110-5110</f>
        <v>0</v>
      </c>
    </row>
    <row r="181" spans="1:7" ht="15">
      <c r="A181" s="31" t="s">
        <v>1664</v>
      </c>
      <c r="B181" s="51" t="s">
        <v>106</v>
      </c>
      <c r="C181" s="15" t="s">
        <v>1651</v>
      </c>
      <c r="D181" s="15" t="s">
        <v>923</v>
      </c>
      <c r="E181" s="15" t="s">
        <v>1663</v>
      </c>
      <c r="F181" s="15"/>
      <c r="G181" s="18">
        <f>G182+G223+G238</f>
        <v>306335.89999999997</v>
      </c>
    </row>
    <row r="182" spans="1:7" ht="24">
      <c r="A182" s="16" t="s">
        <v>1186</v>
      </c>
      <c r="B182" s="51" t="s">
        <v>106</v>
      </c>
      <c r="C182" s="15" t="s">
        <v>1651</v>
      </c>
      <c r="D182" s="15" t="s">
        <v>923</v>
      </c>
      <c r="E182" s="15" t="s">
        <v>1093</v>
      </c>
      <c r="F182" s="15"/>
      <c r="G182" s="18">
        <f>G183+G188+G196+G203+G215+G221</f>
        <v>293463.89999999997</v>
      </c>
    </row>
    <row r="183" spans="1:7" ht="24">
      <c r="A183" s="16" t="s">
        <v>270</v>
      </c>
      <c r="B183" s="51" t="s">
        <v>106</v>
      </c>
      <c r="C183" s="52" t="s">
        <v>1651</v>
      </c>
      <c r="D183" s="52" t="s">
        <v>923</v>
      </c>
      <c r="E183" s="52" t="s">
        <v>1093</v>
      </c>
      <c r="F183" s="52" t="s">
        <v>271</v>
      </c>
      <c r="G183" s="18">
        <f>G184+G185</f>
        <v>4858</v>
      </c>
    </row>
    <row r="184" spans="1:7" ht="24">
      <c r="A184" s="16" t="s">
        <v>269</v>
      </c>
      <c r="B184" s="51" t="s">
        <v>106</v>
      </c>
      <c r="C184" s="52" t="s">
        <v>1651</v>
      </c>
      <c r="D184" s="52" t="s">
        <v>923</v>
      </c>
      <c r="E184" s="52" t="s">
        <v>1093</v>
      </c>
      <c r="F184" s="52" t="s">
        <v>570</v>
      </c>
      <c r="G184" s="18">
        <f>3825+13-180</f>
        <v>3658</v>
      </c>
    </row>
    <row r="185" spans="1:7" ht="24">
      <c r="A185" s="16" t="s">
        <v>1445</v>
      </c>
      <c r="B185" s="51" t="s">
        <v>106</v>
      </c>
      <c r="C185" s="52" t="s">
        <v>1651</v>
      </c>
      <c r="D185" s="52" t="s">
        <v>923</v>
      </c>
      <c r="E185" s="52" t="s">
        <v>1093</v>
      </c>
      <c r="F185" s="52" t="s">
        <v>180</v>
      </c>
      <c r="G185" s="18">
        <f>G186+G187</f>
        <v>1200</v>
      </c>
    </row>
    <row r="186" spans="1:7" ht="24.75" hidden="1">
      <c r="A186" s="16" t="s">
        <v>402</v>
      </c>
      <c r="B186" s="51" t="s">
        <v>106</v>
      </c>
      <c r="C186" s="52" t="s">
        <v>1651</v>
      </c>
      <c r="D186" s="52" t="s">
        <v>923</v>
      </c>
      <c r="E186" s="52" t="s">
        <v>1093</v>
      </c>
      <c r="F186" s="52" t="s">
        <v>180</v>
      </c>
      <c r="G186" s="18">
        <f>755-755</f>
        <v>0</v>
      </c>
    </row>
    <row r="187" spans="1:7" ht="24">
      <c r="A187" s="16" t="s">
        <v>1998</v>
      </c>
      <c r="B187" s="51" t="s">
        <v>106</v>
      </c>
      <c r="C187" s="52" t="s">
        <v>1651</v>
      </c>
      <c r="D187" s="52" t="s">
        <v>923</v>
      </c>
      <c r="E187" s="52" t="s">
        <v>1093</v>
      </c>
      <c r="F187" s="52" t="s">
        <v>180</v>
      </c>
      <c r="G187" s="18">
        <v>1200</v>
      </c>
    </row>
    <row r="188" spans="1:7" ht="24">
      <c r="A188" s="16" t="s">
        <v>396</v>
      </c>
      <c r="B188" s="51" t="s">
        <v>106</v>
      </c>
      <c r="C188" s="52" t="s">
        <v>1651</v>
      </c>
      <c r="D188" s="52" t="s">
        <v>923</v>
      </c>
      <c r="E188" s="52" t="s">
        <v>1093</v>
      </c>
      <c r="F188" s="52" t="s">
        <v>1433</v>
      </c>
      <c r="G188" s="18">
        <f>G189+G190</f>
        <v>175281.1</v>
      </c>
    </row>
    <row r="189" spans="1:7" ht="24">
      <c r="A189" s="16" t="s">
        <v>395</v>
      </c>
      <c r="B189" s="51" t="s">
        <v>106</v>
      </c>
      <c r="C189" s="52" t="s">
        <v>1651</v>
      </c>
      <c r="D189" s="52" t="s">
        <v>923</v>
      </c>
      <c r="E189" s="52" t="s">
        <v>1093</v>
      </c>
      <c r="F189" s="52" t="s">
        <v>1434</v>
      </c>
      <c r="G189" s="18">
        <f>120101-390-200-104.4</f>
        <v>119406.6</v>
      </c>
    </row>
    <row r="190" spans="1:7" ht="24">
      <c r="A190" s="16" t="s">
        <v>1027</v>
      </c>
      <c r="B190" s="51" t="s">
        <v>106</v>
      </c>
      <c r="C190" s="52" t="s">
        <v>1651</v>
      </c>
      <c r="D190" s="52" t="s">
        <v>923</v>
      </c>
      <c r="E190" s="52" t="s">
        <v>1093</v>
      </c>
      <c r="F190" s="52" t="s">
        <v>1196</v>
      </c>
      <c r="G190" s="18">
        <f>G191+G192+G193+G194+G195</f>
        <v>55874.5</v>
      </c>
    </row>
    <row r="191" spans="1:7" ht="24">
      <c r="A191" s="16" t="s">
        <v>1109</v>
      </c>
      <c r="B191" s="51" t="s">
        <v>106</v>
      </c>
      <c r="C191" s="52" t="s">
        <v>1651</v>
      </c>
      <c r="D191" s="52" t="s">
        <v>923</v>
      </c>
      <c r="E191" s="52" t="s">
        <v>1093</v>
      </c>
      <c r="F191" s="52" t="s">
        <v>1196</v>
      </c>
      <c r="G191" s="18">
        <f>7270+1340-1400+5500+3200+3000+8700+3500+1400-1759.7+4500+4500</f>
        <v>39750.3</v>
      </c>
    </row>
    <row r="192" spans="1:7" ht="24">
      <c r="A192" s="16" t="s">
        <v>1930</v>
      </c>
      <c r="B192" s="51" t="s">
        <v>106</v>
      </c>
      <c r="C192" s="52" t="s">
        <v>1651</v>
      </c>
      <c r="D192" s="52" t="s">
        <v>923</v>
      </c>
      <c r="E192" s="52" t="s">
        <v>1093</v>
      </c>
      <c r="F192" s="52" t="s">
        <v>1196</v>
      </c>
      <c r="G192" s="18">
        <f>11000+390+200+100+181.8+150-50.2</f>
        <v>11971.599999999999</v>
      </c>
    </row>
    <row r="193" spans="1:7" ht="24">
      <c r="A193" s="16" t="s">
        <v>1998</v>
      </c>
      <c r="B193" s="51" t="s">
        <v>106</v>
      </c>
      <c r="C193" s="52" t="s">
        <v>1651</v>
      </c>
      <c r="D193" s="52" t="s">
        <v>923</v>
      </c>
      <c r="E193" s="52" t="s">
        <v>1093</v>
      </c>
      <c r="F193" s="52" t="s">
        <v>1196</v>
      </c>
      <c r="G193" s="18">
        <v>154.6</v>
      </c>
    </row>
    <row r="194" spans="1:7" ht="24">
      <c r="A194" s="16" t="s">
        <v>898</v>
      </c>
      <c r="B194" s="51" t="s">
        <v>106</v>
      </c>
      <c r="C194" s="52" t="s">
        <v>1651</v>
      </c>
      <c r="D194" s="52" t="s">
        <v>923</v>
      </c>
      <c r="E194" s="52" t="s">
        <v>1093</v>
      </c>
      <c r="F194" s="52" t="s">
        <v>1196</v>
      </c>
      <c r="G194" s="18">
        <v>1318</v>
      </c>
    </row>
    <row r="195" spans="1:7" ht="36">
      <c r="A195" s="16" t="s">
        <v>612</v>
      </c>
      <c r="B195" s="51" t="s">
        <v>106</v>
      </c>
      <c r="C195" s="52" t="s">
        <v>1651</v>
      </c>
      <c r="D195" s="52" t="s">
        <v>923</v>
      </c>
      <c r="E195" s="52" t="s">
        <v>1093</v>
      </c>
      <c r="F195" s="52" t="s">
        <v>1196</v>
      </c>
      <c r="G195" s="18">
        <v>2680</v>
      </c>
    </row>
    <row r="196" spans="1:7" ht="24">
      <c r="A196" s="16" t="s">
        <v>2007</v>
      </c>
      <c r="B196" s="51" t="s">
        <v>106</v>
      </c>
      <c r="C196" s="52" t="s">
        <v>1651</v>
      </c>
      <c r="D196" s="52" t="s">
        <v>923</v>
      </c>
      <c r="E196" s="52" t="s">
        <v>130</v>
      </c>
      <c r="F196" s="52" t="s">
        <v>575</v>
      </c>
      <c r="G196" s="18">
        <f>G197</f>
        <v>10957</v>
      </c>
    </row>
    <row r="197" spans="1:7" ht="24">
      <c r="A197" s="16" t="s">
        <v>270</v>
      </c>
      <c r="B197" s="51" t="s">
        <v>106</v>
      </c>
      <c r="C197" s="52" t="s">
        <v>1651</v>
      </c>
      <c r="D197" s="52" t="s">
        <v>923</v>
      </c>
      <c r="E197" s="52" t="s">
        <v>130</v>
      </c>
      <c r="F197" s="52" t="s">
        <v>271</v>
      </c>
      <c r="G197" s="18">
        <f>G198+G199</f>
        <v>10957</v>
      </c>
    </row>
    <row r="198" spans="1:7" ht="24">
      <c r="A198" s="16" t="s">
        <v>269</v>
      </c>
      <c r="B198" s="51" t="s">
        <v>106</v>
      </c>
      <c r="C198" s="52" t="s">
        <v>1651</v>
      </c>
      <c r="D198" s="52" t="s">
        <v>923</v>
      </c>
      <c r="E198" s="52" t="s">
        <v>130</v>
      </c>
      <c r="F198" s="52" t="s">
        <v>570</v>
      </c>
      <c r="G198" s="18">
        <f>11629+160-1132-300-800</f>
        <v>9557</v>
      </c>
    </row>
    <row r="199" spans="1:7" ht="24">
      <c r="A199" s="16" t="s">
        <v>1445</v>
      </c>
      <c r="B199" s="51" t="s">
        <v>106</v>
      </c>
      <c r="C199" s="52" t="s">
        <v>1651</v>
      </c>
      <c r="D199" s="52" t="s">
        <v>923</v>
      </c>
      <c r="E199" s="52" t="s">
        <v>130</v>
      </c>
      <c r="F199" s="52" t="s">
        <v>180</v>
      </c>
      <c r="G199" s="18">
        <f>G200+G201+G202</f>
        <v>1400</v>
      </c>
    </row>
    <row r="200" spans="1:7" ht="24">
      <c r="A200" s="16" t="s">
        <v>402</v>
      </c>
      <c r="B200" s="51" t="s">
        <v>106</v>
      </c>
      <c r="C200" s="52" t="s">
        <v>1651</v>
      </c>
      <c r="D200" s="52" t="s">
        <v>923</v>
      </c>
      <c r="E200" s="52" t="s">
        <v>130</v>
      </c>
      <c r="F200" s="52" t="s">
        <v>180</v>
      </c>
      <c r="G200" s="18">
        <f>585-385</f>
        <v>200</v>
      </c>
    </row>
    <row r="201" spans="1:7" ht="24">
      <c r="A201" s="16" t="s">
        <v>1998</v>
      </c>
      <c r="B201" s="51" t="s">
        <v>106</v>
      </c>
      <c r="C201" s="52" t="s">
        <v>1651</v>
      </c>
      <c r="D201" s="52" t="s">
        <v>923</v>
      </c>
      <c r="E201" s="52" t="s">
        <v>130</v>
      </c>
      <c r="F201" s="52" t="s">
        <v>180</v>
      </c>
      <c r="G201" s="18">
        <v>600</v>
      </c>
    </row>
    <row r="202" spans="1:7" ht="24">
      <c r="A202" s="16" t="s">
        <v>177</v>
      </c>
      <c r="B202" s="51" t="s">
        <v>106</v>
      </c>
      <c r="C202" s="52" t="s">
        <v>1651</v>
      </c>
      <c r="D202" s="52" t="s">
        <v>923</v>
      </c>
      <c r="E202" s="52" t="s">
        <v>130</v>
      </c>
      <c r="F202" s="52" t="s">
        <v>180</v>
      </c>
      <c r="G202" s="18">
        <v>600</v>
      </c>
    </row>
    <row r="203" spans="1:7" ht="36">
      <c r="A203" s="16" t="s">
        <v>770</v>
      </c>
      <c r="B203" s="51" t="s">
        <v>106</v>
      </c>
      <c r="C203" s="52" t="s">
        <v>1651</v>
      </c>
      <c r="D203" s="52" t="s">
        <v>923</v>
      </c>
      <c r="E203" s="52" t="s">
        <v>131</v>
      </c>
      <c r="F203" s="52" t="s">
        <v>575</v>
      </c>
      <c r="G203" s="18">
        <f>G204+G205+G210</f>
        <v>73110.2</v>
      </c>
    </row>
    <row r="204" spans="1:7" ht="24.75" hidden="1">
      <c r="A204" s="16" t="s">
        <v>369</v>
      </c>
      <c r="B204" s="51" t="s">
        <v>106</v>
      </c>
      <c r="C204" s="52" t="s">
        <v>1651</v>
      </c>
      <c r="D204" s="52" t="s">
        <v>923</v>
      </c>
      <c r="E204" s="52" t="s">
        <v>131</v>
      </c>
      <c r="F204" s="52" t="s">
        <v>738</v>
      </c>
      <c r="G204" s="18"/>
    </row>
    <row r="205" spans="1:7" ht="24">
      <c r="A205" s="16" t="s">
        <v>270</v>
      </c>
      <c r="B205" s="51" t="s">
        <v>106</v>
      </c>
      <c r="C205" s="52" t="s">
        <v>1651</v>
      </c>
      <c r="D205" s="52" t="s">
        <v>923</v>
      </c>
      <c r="E205" s="52" t="s">
        <v>131</v>
      </c>
      <c r="F205" s="52" t="s">
        <v>271</v>
      </c>
      <c r="G205" s="18">
        <f>G206+G207</f>
        <v>59230.4</v>
      </c>
    </row>
    <row r="206" spans="1:7" ht="24">
      <c r="A206" s="16" t="s">
        <v>269</v>
      </c>
      <c r="B206" s="51" t="s">
        <v>106</v>
      </c>
      <c r="C206" s="52" t="s">
        <v>1651</v>
      </c>
      <c r="D206" s="52" t="s">
        <v>923</v>
      </c>
      <c r="E206" s="52" t="s">
        <v>131</v>
      </c>
      <c r="F206" s="52" t="s">
        <v>570</v>
      </c>
      <c r="G206" s="18">
        <f>9859+30-163-1010+48099+687.4</f>
        <v>57502.4</v>
      </c>
    </row>
    <row r="207" spans="1:7" ht="24">
      <c r="A207" s="16" t="s">
        <v>1445</v>
      </c>
      <c r="B207" s="51" t="s">
        <v>106</v>
      </c>
      <c r="C207" s="52" t="s">
        <v>1651</v>
      </c>
      <c r="D207" s="52" t="s">
        <v>923</v>
      </c>
      <c r="E207" s="52" t="s">
        <v>131</v>
      </c>
      <c r="F207" s="52" t="s">
        <v>180</v>
      </c>
      <c r="G207" s="18">
        <f>G208+G209</f>
        <v>1728</v>
      </c>
    </row>
    <row r="208" spans="1:7" ht="36">
      <c r="A208" s="16" t="s">
        <v>494</v>
      </c>
      <c r="B208" s="51" t="s">
        <v>106</v>
      </c>
      <c r="C208" s="52" t="s">
        <v>1651</v>
      </c>
      <c r="D208" s="52" t="s">
        <v>923</v>
      </c>
      <c r="E208" s="52" t="s">
        <v>131</v>
      </c>
      <c r="F208" s="52" t="s">
        <v>180</v>
      </c>
      <c r="G208" s="18">
        <f>750+404-159-467</f>
        <v>528</v>
      </c>
    </row>
    <row r="209" spans="1:7" ht="24">
      <c r="A209" s="16" t="s">
        <v>1998</v>
      </c>
      <c r="B209" s="51" t="s">
        <v>106</v>
      </c>
      <c r="C209" s="52" t="s">
        <v>1651</v>
      </c>
      <c r="D209" s="52" t="s">
        <v>923</v>
      </c>
      <c r="E209" s="52" t="s">
        <v>131</v>
      </c>
      <c r="F209" s="52" t="s">
        <v>180</v>
      </c>
      <c r="G209" s="18">
        <f>1950-750</f>
        <v>1200</v>
      </c>
    </row>
    <row r="210" spans="1:7" ht="24">
      <c r="A210" s="16" t="s">
        <v>396</v>
      </c>
      <c r="B210" s="51" t="s">
        <v>106</v>
      </c>
      <c r="C210" s="52" t="s">
        <v>1651</v>
      </c>
      <c r="D210" s="52" t="s">
        <v>923</v>
      </c>
      <c r="E210" s="52" t="s">
        <v>131</v>
      </c>
      <c r="F210" s="52" t="s">
        <v>1433</v>
      </c>
      <c r="G210" s="18">
        <f>G211+G212</f>
        <v>13879.8</v>
      </c>
    </row>
    <row r="211" spans="1:7" ht="24">
      <c r="A211" s="16" t="s">
        <v>395</v>
      </c>
      <c r="B211" s="51" t="s">
        <v>106</v>
      </c>
      <c r="C211" s="52" t="s">
        <v>1651</v>
      </c>
      <c r="D211" s="52" t="s">
        <v>923</v>
      </c>
      <c r="E211" s="52" t="s">
        <v>131</v>
      </c>
      <c r="F211" s="52" t="s">
        <v>1434</v>
      </c>
      <c r="G211" s="18">
        <f>11006+130.5</f>
        <v>11136.5</v>
      </c>
    </row>
    <row r="212" spans="1:7" ht="24">
      <c r="A212" s="16" t="s">
        <v>771</v>
      </c>
      <c r="B212" s="51" t="s">
        <v>106</v>
      </c>
      <c r="C212" s="52" t="s">
        <v>1651</v>
      </c>
      <c r="D212" s="52" t="s">
        <v>923</v>
      </c>
      <c r="E212" s="52" t="s">
        <v>131</v>
      </c>
      <c r="F212" s="52" t="s">
        <v>1196</v>
      </c>
      <c r="G212" s="18">
        <f>G213+G214</f>
        <v>2743.3</v>
      </c>
    </row>
    <row r="213" spans="1:7" ht="24">
      <c r="A213" s="16" t="s">
        <v>157</v>
      </c>
      <c r="B213" s="51" t="s">
        <v>106</v>
      </c>
      <c r="C213" s="52" t="s">
        <v>1651</v>
      </c>
      <c r="D213" s="52" t="s">
        <v>923</v>
      </c>
      <c r="E213" s="52" t="s">
        <v>131</v>
      </c>
      <c r="F213" s="52" t="s">
        <v>1196</v>
      </c>
      <c r="G213" s="18">
        <f>300+1419.6+45.7-0.1</f>
        <v>1765.2</v>
      </c>
    </row>
    <row r="214" spans="1:7" ht="24">
      <c r="A214" s="16" t="s">
        <v>1083</v>
      </c>
      <c r="B214" s="51" t="s">
        <v>106</v>
      </c>
      <c r="C214" s="52" t="s">
        <v>1651</v>
      </c>
      <c r="D214" s="52" t="s">
        <v>923</v>
      </c>
      <c r="E214" s="52" t="s">
        <v>131</v>
      </c>
      <c r="F214" s="52" t="s">
        <v>1196</v>
      </c>
      <c r="G214" s="18">
        <v>978.1</v>
      </c>
    </row>
    <row r="215" spans="1:7" ht="24">
      <c r="A215" s="16" t="s">
        <v>973</v>
      </c>
      <c r="B215" s="51" t="s">
        <v>106</v>
      </c>
      <c r="C215" s="52" t="s">
        <v>1651</v>
      </c>
      <c r="D215" s="52" t="s">
        <v>923</v>
      </c>
      <c r="E215" s="52" t="s">
        <v>132</v>
      </c>
      <c r="F215" s="52" t="s">
        <v>575</v>
      </c>
      <c r="G215" s="18">
        <f>G216</f>
        <v>29257.6</v>
      </c>
    </row>
    <row r="216" spans="1:7" ht="24">
      <c r="A216" s="16" t="s">
        <v>270</v>
      </c>
      <c r="B216" s="51" t="s">
        <v>106</v>
      </c>
      <c r="C216" s="52" t="s">
        <v>1651</v>
      </c>
      <c r="D216" s="52" t="s">
        <v>923</v>
      </c>
      <c r="E216" s="52" t="s">
        <v>132</v>
      </c>
      <c r="F216" s="52" t="s">
        <v>271</v>
      </c>
      <c r="G216" s="18">
        <f>G217+G218</f>
        <v>29257.6</v>
      </c>
    </row>
    <row r="217" spans="1:7" ht="24">
      <c r="A217" s="16" t="s">
        <v>269</v>
      </c>
      <c r="B217" s="51" t="s">
        <v>106</v>
      </c>
      <c r="C217" s="52" t="s">
        <v>1651</v>
      </c>
      <c r="D217" s="52" t="s">
        <v>923</v>
      </c>
      <c r="E217" s="52" t="s">
        <v>132</v>
      </c>
      <c r="F217" s="52" t="s">
        <v>570</v>
      </c>
      <c r="G217" s="18">
        <f>7604+80-613+21147+339.6</f>
        <v>28557.6</v>
      </c>
    </row>
    <row r="218" spans="1:7" ht="24">
      <c r="A218" s="16" t="s">
        <v>1445</v>
      </c>
      <c r="B218" s="51" t="s">
        <v>106</v>
      </c>
      <c r="C218" s="52" t="s">
        <v>1651</v>
      </c>
      <c r="D218" s="52" t="s">
        <v>923</v>
      </c>
      <c r="E218" s="52" t="s">
        <v>132</v>
      </c>
      <c r="F218" s="52" t="s">
        <v>180</v>
      </c>
      <c r="G218" s="18">
        <f>G219+G220</f>
        <v>700</v>
      </c>
    </row>
    <row r="219" spans="1:7" ht="24">
      <c r="A219" s="16" t="s">
        <v>495</v>
      </c>
      <c r="B219" s="51" t="s">
        <v>106</v>
      </c>
      <c r="C219" s="52" t="s">
        <v>1651</v>
      </c>
      <c r="D219" s="52" t="s">
        <v>923</v>
      </c>
      <c r="E219" s="52" t="s">
        <v>132</v>
      </c>
      <c r="F219" s="52" t="s">
        <v>180</v>
      </c>
      <c r="G219" s="18">
        <f>935-385-350</f>
        <v>200</v>
      </c>
    </row>
    <row r="220" spans="1:7" ht="24">
      <c r="A220" s="16" t="s">
        <v>1998</v>
      </c>
      <c r="B220" s="51" t="s">
        <v>106</v>
      </c>
      <c r="C220" s="52" t="s">
        <v>1651</v>
      </c>
      <c r="D220" s="52" t="s">
        <v>923</v>
      </c>
      <c r="E220" s="52" t="s">
        <v>132</v>
      </c>
      <c r="F220" s="52" t="s">
        <v>180</v>
      </c>
      <c r="G220" s="18">
        <v>500</v>
      </c>
    </row>
    <row r="221" spans="1:7" ht="36" hidden="1">
      <c r="A221" s="16" t="s">
        <v>974</v>
      </c>
      <c r="B221" s="51" t="s">
        <v>106</v>
      </c>
      <c r="C221" s="52" t="s">
        <v>1651</v>
      </c>
      <c r="D221" s="52" t="s">
        <v>923</v>
      </c>
      <c r="E221" s="52" t="s">
        <v>701</v>
      </c>
      <c r="F221" s="52" t="s">
        <v>575</v>
      </c>
      <c r="G221" s="18">
        <f>G222</f>
        <v>0</v>
      </c>
    </row>
    <row r="222" spans="1:7" ht="24.75" hidden="1">
      <c r="A222" s="16" t="s">
        <v>395</v>
      </c>
      <c r="B222" s="51" t="s">
        <v>106</v>
      </c>
      <c r="C222" s="52" t="s">
        <v>1651</v>
      </c>
      <c r="D222" s="52" t="s">
        <v>923</v>
      </c>
      <c r="E222" s="52" t="s">
        <v>701</v>
      </c>
      <c r="F222" s="52" t="s">
        <v>1434</v>
      </c>
      <c r="G222" s="18"/>
    </row>
    <row r="223" spans="1:7" ht="24">
      <c r="A223" s="16" t="s">
        <v>769</v>
      </c>
      <c r="B223" s="51" t="s">
        <v>106</v>
      </c>
      <c r="C223" s="52" t="s">
        <v>1651</v>
      </c>
      <c r="D223" s="52" t="s">
        <v>923</v>
      </c>
      <c r="E223" s="52" t="s">
        <v>853</v>
      </c>
      <c r="F223" s="52"/>
      <c r="G223" s="18">
        <f>G224+G233</f>
        <v>6572</v>
      </c>
    </row>
    <row r="224" spans="1:7" ht="36">
      <c r="A224" s="16" t="s">
        <v>787</v>
      </c>
      <c r="B224" s="51" t="s">
        <v>106</v>
      </c>
      <c r="C224" s="52" t="s">
        <v>1651</v>
      </c>
      <c r="D224" s="52" t="s">
        <v>923</v>
      </c>
      <c r="E224" s="52" t="s">
        <v>1532</v>
      </c>
      <c r="F224" s="52" t="s">
        <v>575</v>
      </c>
      <c r="G224" s="18">
        <f>G225+G229</f>
        <v>6342</v>
      </c>
    </row>
    <row r="225" spans="1:7" ht="24">
      <c r="A225" s="16" t="s">
        <v>270</v>
      </c>
      <c r="B225" s="51" t="s">
        <v>106</v>
      </c>
      <c r="C225" s="52" t="s">
        <v>1651</v>
      </c>
      <c r="D225" s="52" t="s">
        <v>923</v>
      </c>
      <c r="E225" s="52" t="s">
        <v>1532</v>
      </c>
      <c r="F225" s="52" t="s">
        <v>271</v>
      </c>
      <c r="G225" s="18">
        <f>G226+G227</f>
        <v>247</v>
      </c>
    </row>
    <row r="226" spans="1:7" ht="24">
      <c r="A226" s="16" t="s">
        <v>269</v>
      </c>
      <c r="B226" s="51" t="s">
        <v>106</v>
      </c>
      <c r="C226" s="52" t="s">
        <v>1651</v>
      </c>
      <c r="D226" s="52" t="s">
        <v>923</v>
      </c>
      <c r="E226" s="52" t="s">
        <v>1532</v>
      </c>
      <c r="F226" s="52" t="s">
        <v>570</v>
      </c>
      <c r="G226" s="18">
        <v>180</v>
      </c>
    </row>
    <row r="227" spans="1:7" ht="24">
      <c r="A227" s="16" t="s">
        <v>1445</v>
      </c>
      <c r="B227" s="51" t="s">
        <v>106</v>
      </c>
      <c r="C227" s="52" t="s">
        <v>1651</v>
      </c>
      <c r="D227" s="52" t="s">
        <v>923</v>
      </c>
      <c r="E227" s="52" t="s">
        <v>1532</v>
      </c>
      <c r="F227" s="52" t="s">
        <v>180</v>
      </c>
      <c r="G227" s="18">
        <f>G228</f>
        <v>67</v>
      </c>
    </row>
    <row r="228" spans="1:7" ht="24">
      <c r="A228" s="16" t="s">
        <v>762</v>
      </c>
      <c r="B228" s="51" t="s">
        <v>106</v>
      </c>
      <c r="C228" s="52" t="s">
        <v>1651</v>
      </c>
      <c r="D228" s="52" t="s">
        <v>923</v>
      </c>
      <c r="E228" s="52" t="s">
        <v>1532</v>
      </c>
      <c r="F228" s="52" t="s">
        <v>180</v>
      </c>
      <c r="G228" s="18">
        <v>67</v>
      </c>
    </row>
    <row r="229" spans="1:7" ht="24">
      <c r="A229" s="16" t="s">
        <v>396</v>
      </c>
      <c r="B229" s="51" t="s">
        <v>106</v>
      </c>
      <c r="C229" s="52" t="s">
        <v>1651</v>
      </c>
      <c r="D229" s="52" t="s">
        <v>923</v>
      </c>
      <c r="E229" s="52" t="s">
        <v>1532</v>
      </c>
      <c r="F229" s="52" t="s">
        <v>1433</v>
      </c>
      <c r="G229" s="18">
        <f>G230+G231</f>
        <v>6095</v>
      </c>
    </row>
    <row r="230" spans="1:7" ht="24">
      <c r="A230" s="16" t="s">
        <v>395</v>
      </c>
      <c r="B230" s="51" t="s">
        <v>106</v>
      </c>
      <c r="C230" s="52" t="s">
        <v>1651</v>
      </c>
      <c r="D230" s="52" t="s">
        <v>923</v>
      </c>
      <c r="E230" s="52" t="s">
        <v>1532</v>
      </c>
      <c r="F230" s="52" t="s">
        <v>1434</v>
      </c>
      <c r="G230" s="18">
        <f>5029-1000</f>
        <v>4029</v>
      </c>
    </row>
    <row r="231" spans="1:7" ht="24">
      <c r="A231" s="16" t="s">
        <v>771</v>
      </c>
      <c r="B231" s="51" t="s">
        <v>106</v>
      </c>
      <c r="C231" s="52" t="s">
        <v>1651</v>
      </c>
      <c r="D231" s="52" t="s">
        <v>923</v>
      </c>
      <c r="E231" s="52" t="s">
        <v>1532</v>
      </c>
      <c r="F231" s="52" t="s">
        <v>1196</v>
      </c>
      <c r="G231" s="18">
        <f>G232</f>
        <v>2066</v>
      </c>
    </row>
    <row r="232" spans="1:7" ht="24">
      <c r="A232" s="16" t="s">
        <v>640</v>
      </c>
      <c r="B232" s="51" t="s">
        <v>106</v>
      </c>
      <c r="C232" s="52" t="s">
        <v>1651</v>
      </c>
      <c r="D232" s="52" t="s">
        <v>923</v>
      </c>
      <c r="E232" s="52" t="s">
        <v>1532</v>
      </c>
      <c r="F232" s="52" t="s">
        <v>1196</v>
      </c>
      <c r="G232" s="18">
        <f>600+466+1000</f>
        <v>2066</v>
      </c>
    </row>
    <row r="233" spans="1:7" ht="36">
      <c r="A233" s="16" t="s">
        <v>857</v>
      </c>
      <c r="B233" s="51" t="s">
        <v>106</v>
      </c>
      <c r="C233" s="52" t="s">
        <v>1651</v>
      </c>
      <c r="D233" s="52" t="s">
        <v>923</v>
      </c>
      <c r="E233" s="52" t="s">
        <v>858</v>
      </c>
      <c r="F233" s="52" t="s">
        <v>575</v>
      </c>
      <c r="G233" s="18">
        <f>G234</f>
        <v>230</v>
      </c>
    </row>
    <row r="234" spans="1:7" ht="24">
      <c r="A234" s="16" t="s">
        <v>270</v>
      </c>
      <c r="B234" s="51" t="s">
        <v>106</v>
      </c>
      <c r="C234" s="52" t="s">
        <v>1651</v>
      </c>
      <c r="D234" s="52" t="s">
        <v>923</v>
      </c>
      <c r="E234" s="52" t="s">
        <v>858</v>
      </c>
      <c r="F234" s="52" t="s">
        <v>271</v>
      </c>
      <c r="G234" s="18">
        <f>G235+G236</f>
        <v>230</v>
      </c>
    </row>
    <row r="235" spans="1:7" ht="24">
      <c r="A235" s="16" t="s">
        <v>269</v>
      </c>
      <c r="B235" s="51" t="s">
        <v>106</v>
      </c>
      <c r="C235" s="52" t="s">
        <v>1651</v>
      </c>
      <c r="D235" s="52" t="s">
        <v>923</v>
      </c>
      <c r="E235" s="52" t="s">
        <v>858</v>
      </c>
      <c r="F235" s="52" t="s">
        <v>570</v>
      </c>
      <c r="G235" s="18">
        <v>163</v>
      </c>
    </row>
    <row r="236" spans="1:7" ht="24">
      <c r="A236" s="16" t="s">
        <v>1445</v>
      </c>
      <c r="B236" s="51" t="s">
        <v>106</v>
      </c>
      <c r="C236" s="52" t="s">
        <v>1651</v>
      </c>
      <c r="D236" s="52" t="s">
        <v>923</v>
      </c>
      <c r="E236" s="52" t="s">
        <v>858</v>
      </c>
      <c r="F236" s="52" t="s">
        <v>180</v>
      </c>
      <c r="G236" s="18">
        <f>G237</f>
        <v>67</v>
      </c>
    </row>
    <row r="237" spans="1:7" ht="24">
      <c r="A237" s="16" t="s">
        <v>762</v>
      </c>
      <c r="B237" s="51" t="s">
        <v>106</v>
      </c>
      <c r="C237" s="52" t="s">
        <v>1651</v>
      </c>
      <c r="D237" s="52" t="s">
        <v>923</v>
      </c>
      <c r="E237" s="52" t="s">
        <v>858</v>
      </c>
      <c r="F237" s="52" t="s">
        <v>180</v>
      </c>
      <c r="G237" s="18">
        <v>67</v>
      </c>
    </row>
    <row r="238" spans="1:7" ht="36">
      <c r="A238" s="16" t="s">
        <v>1087</v>
      </c>
      <c r="B238" s="51" t="s">
        <v>106</v>
      </c>
      <c r="C238" s="52" t="s">
        <v>1651</v>
      </c>
      <c r="D238" s="52" t="s">
        <v>923</v>
      </c>
      <c r="E238" s="52" t="s">
        <v>133</v>
      </c>
      <c r="F238" s="52" t="s">
        <v>575</v>
      </c>
      <c r="G238" s="18">
        <f>G239+G247</f>
        <v>6300</v>
      </c>
    </row>
    <row r="239" spans="1:7" ht="48">
      <c r="A239" s="16" t="s">
        <v>380</v>
      </c>
      <c r="B239" s="51" t="s">
        <v>106</v>
      </c>
      <c r="C239" s="52" t="s">
        <v>1651</v>
      </c>
      <c r="D239" s="52" t="s">
        <v>923</v>
      </c>
      <c r="E239" s="52" t="s">
        <v>134</v>
      </c>
      <c r="F239" s="52" t="s">
        <v>575</v>
      </c>
      <c r="G239" s="18">
        <f>G240+G245</f>
        <v>3900</v>
      </c>
    </row>
    <row r="240" spans="1:7" ht="24">
      <c r="A240" s="16" t="s">
        <v>270</v>
      </c>
      <c r="B240" s="51" t="s">
        <v>106</v>
      </c>
      <c r="C240" s="52" t="s">
        <v>1651</v>
      </c>
      <c r="D240" s="52" t="s">
        <v>923</v>
      </c>
      <c r="E240" s="52" t="s">
        <v>134</v>
      </c>
      <c r="F240" s="52" t="s">
        <v>271</v>
      </c>
      <c r="G240" s="18">
        <f>G241+G242</f>
        <v>269</v>
      </c>
    </row>
    <row r="241" spans="1:7" ht="24">
      <c r="A241" s="16" t="s">
        <v>269</v>
      </c>
      <c r="B241" s="51" t="s">
        <v>106</v>
      </c>
      <c r="C241" s="52" t="s">
        <v>1651</v>
      </c>
      <c r="D241" s="52" t="s">
        <v>923</v>
      </c>
      <c r="E241" s="52" t="s">
        <v>134</v>
      </c>
      <c r="F241" s="52" t="s">
        <v>570</v>
      </c>
      <c r="G241" s="18">
        <v>269</v>
      </c>
    </row>
    <row r="242" spans="1:7" ht="24.75" hidden="1">
      <c r="A242" s="16" t="s">
        <v>1445</v>
      </c>
      <c r="B242" s="51" t="s">
        <v>106</v>
      </c>
      <c r="C242" s="52" t="s">
        <v>1651</v>
      </c>
      <c r="D242" s="52" t="s">
        <v>923</v>
      </c>
      <c r="E242" s="52" t="s">
        <v>134</v>
      </c>
      <c r="F242" s="52" t="s">
        <v>180</v>
      </c>
      <c r="G242" s="18">
        <f>G243+G244</f>
        <v>0</v>
      </c>
    </row>
    <row r="243" spans="1:7" ht="24.75" hidden="1">
      <c r="A243" s="16" t="s">
        <v>402</v>
      </c>
      <c r="B243" s="51" t="s">
        <v>106</v>
      </c>
      <c r="C243" s="52" t="s">
        <v>1651</v>
      </c>
      <c r="D243" s="52" t="s">
        <v>923</v>
      </c>
      <c r="E243" s="52" t="s">
        <v>134</v>
      </c>
      <c r="F243" s="52" t="s">
        <v>180</v>
      </c>
      <c r="G243" s="18">
        <v>0</v>
      </c>
    </row>
    <row r="244" spans="1:7" ht="24.75" hidden="1">
      <c r="A244" s="16" t="s">
        <v>762</v>
      </c>
      <c r="B244" s="51" t="s">
        <v>106</v>
      </c>
      <c r="C244" s="52" t="s">
        <v>1651</v>
      </c>
      <c r="D244" s="52" t="s">
        <v>923</v>
      </c>
      <c r="E244" s="52" t="s">
        <v>134</v>
      </c>
      <c r="F244" s="52" t="s">
        <v>180</v>
      </c>
      <c r="G244" s="18">
        <v>0</v>
      </c>
    </row>
    <row r="245" spans="1:7" ht="24">
      <c r="A245" s="16" t="s">
        <v>396</v>
      </c>
      <c r="B245" s="51" t="s">
        <v>106</v>
      </c>
      <c r="C245" s="52" t="s">
        <v>1651</v>
      </c>
      <c r="D245" s="52" t="s">
        <v>923</v>
      </c>
      <c r="E245" s="52" t="s">
        <v>134</v>
      </c>
      <c r="F245" s="52" t="s">
        <v>1433</v>
      </c>
      <c r="G245" s="18">
        <f>G246</f>
        <v>3631</v>
      </c>
    </row>
    <row r="246" spans="1:7" ht="24">
      <c r="A246" s="16" t="s">
        <v>395</v>
      </c>
      <c r="B246" s="51" t="s">
        <v>106</v>
      </c>
      <c r="C246" s="52" t="s">
        <v>1651</v>
      </c>
      <c r="D246" s="52" t="s">
        <v>923</v>
      </c>
      <c r="E246" s="52" t="s">
        <v>134</v>
      </c>
      <c r="F246" s="52" t="s">
        <v>1434</v>
      </c>
      <c r="G246" s="18">
        <v>3631</v>
      </c>
    </row>
    <row r="247" spans="1:7" ht="48">
      <c r="A247" s="16" t="s">
        <v>1002</v>
      </c>
      <c r="B247" s="51" t="s">
        <v>106</v>
      </c>
      <c r="C247" s="52" t="s">
        <v>1651</v>
      </c>
      <c r="D247" s="52" t="s">
        <v>923</v>
      </c>
      <c r="E247" s="52" t="s">
        <v>135</v>
      </c>
      <c r="F247" s="52" t="s">
        <v>575</v>
      </c>
      <c r="G247" s="18">
        <f>G248</f>
        <v>2400</v>
      </c>
    </row>
    <row r="248" spans="1:7" ht="24">
      <c r="A248" s="16" t="s">
        <v>270</v>
      </c>
      <c r="B248" s="51" t="s">
        <v>106</v>
      </c>
      <c r="C248" s="52" t="s">
        <v>1651</v>
      </c>
      <c r="D248" s="52" t="s">
        <v>923</v>
      </c>
      <c r="E248" s="52" t="s">
        <v>135</v>
      </c>
      <c r="F248" s="52" t="s">
        <v>271</v>
      </c>
      <c r="G248" s="18">
        <f>G249</f>
        <v>2400</v>
      </c>
    </row>
    <row r="249" spans="1:7" ht="24">
      <c r="A249" s="16" t="s">
        <v>269</v>
      </c>
      <c r="B249" s="51" t="s">
        <v>106</v>
      </c>
      <c r="C249" s="52" t="s">
        <v>1651</v>
      </c>
      <c r="D249" s="52" t="s">
        <v>923</v>
      </c>
      <c r="E249" s="52" t="s">
        <v>135</v>
      </c>
      <c r="F249" s="52" t="s">
        <v>570</v>
      </c>
      <c r="G249" s="18">
        <f>3700-1300</f>
        <v>2400</v>
      </c>
    </row>
    <row r="250" spans="1:7" ht="22.5" customHeight="1" hidden="1">
      <c r="A250" s="75" t="s">
        <v>164</v>
      </c>
      <c r="B250" s="51" t="s">
        <v>106</v>
      </c>
      <c r="C250" s="15" t="s">
        <v>1651</v>
      </c>
      <c r="D250" s="15" t="s">
        <v>1653</v>
      </c>
      <c r="E250" s="15"/>
      <c r="F250" s="15"/>
      <c r="G250" s="18">
        <f>G251</f>
        <v>0</v>
      </c>
    </row>
    <row r="251" spans="1:7" ht="23.25" customHeight="1" hidden="1">
      <c r="A251" s="16" t="s">
        <v>2002</v>
      </c>
      <c r="B251" s="51" t="s">
        <v>106</v>
      </c>
      <c r="C251" s="15" t="s">
        <v>1651</v>
      </c>
      <c r="D251" s="15" t="s">
        <v>1653</v>
      </c>
      <c r="E251" s="15" t="s">
        <v>594</v>
      </c>
      <c r="F251" s="15"/>
      <c r="G251" s="18">
        <f>G252</f>
        <v>0</v>
      </c>
    </row>
    <row r="252" spans="1:7" ht="18" customHeight="1" hidden="1">
      <c r="A252" s="16" t="s">
        <v>359</v>
      </c>
      <c r="B252" s="51" t="s">
        <v>106</v>
      </c>
      <c r="C252" s="15" t="s">
        <v>1651</v>
      </c>
      <c r="D252" s="15" t="s">
        <v>1653</v>
      </c>
      <c r="E252" s="15" t="s">
        <v>594</v>
      </c>
      <c r="F252" s="15" t="s">
        <v>360</v>
      </c>
      <c r="G252" s="18">
        <v>0</v>
      </c>
    </row>
    <row r="253" spans="1:7" ht="24">
      <c r="A253" s="29" t="s">
        <v>1060</v>
      </c>
      <c r="B253" s="51" t="s">
        <v>106</v>
      </c>
      <c r="C253" s="15" t="s">
        <v>1651</v>
      </c>
      <c r="D253" s="15" t="s">
        <v>1648</v>
      </c>
      <c r="E253" s="15"/>
      <c r="F253" s="15"/>
      <c r="G253" s="18">
        <f>G254+G256</f>
        <v>400</v>
      </c>
    </row>
    <row r="254" spans="1:7" ht="17.25" customHeight="1" hidden="1">
      <c r="A254" s="16" t="s">
        <v>2002</v>
      </c>
      <c r="B254" s="51" t="s">
        <v>106</v>
      </c>
      <c r="C254" s="15" t="s">
        <v>1651</v>
      </c>
      <c r="D254" s="15" t="s">
        <v>1648</v>
      </c>
      <c r="E254" s="15" t="s">
        <v>959</v>
      </c>
      <c r="F254" s="15"/>
      <c r="G254" s="18">
        <f>G255</f>
        <v>0</v>
      </c>
    </row>
    <row r="255" spans="1:7" ht="19.5" customHeight="1" hidden="1">
      <c r="A255" s="16" t="s">
        <v>359</v>
      </c>
      <c r="B255" s="51" t="s">
        <v>106</v>
      </c>
      <c r="C255" s="15" t="s">
        <v>1651</v>
      </c>
      <c r="D255" s="15" t="s">
        <v>1648</v>
      </c>
      <c r="E255" s="15" t="s">
        <v>959</v>
      </c>
      <c r="F255" s="15" t="s">
        <v>360</v>
      </c>
      <c r="G255" s="18"/>
    </row>
    <row r="256" spans="1:7" ht="15">
      <c r="A256" s="31" t="s">
        <v>1664</v>
      </c>
      <c r="B256" s="51" t="s">
        <v>106</v>
      </c>
      <c r="C256" s="15" t="s">
        <v>1651</v>
      </c>
      <c r="D256" s="15" t="s">
        <v>1648</v>
      </c>
      <c r="E256" s="15" t="s">
        <v>1663</v>
      </c>
      <c r="F256" s="15"/>
      <c r="G256" s="18">
        <f>G257</f>
        <v>400</v>
      </c>
    </row>
    <row r="257" spans="1:7" ht="27.75" customHeight="1">
      <c r="A257" s="16" t="s">
        <v>381</v>
      </c>
      <c r="B257" s="51" t="s">
        <v>106</v>
      </c>
      <c r="C257" s="15" t="s">
        <v>1651</v>
      </c>
      <c r="D257" s="15" t="s">
        <v>1648</v>
      </c>
      <c r="E257" s="15" t="s">
        <v>854</v>
      </c>
      <c r="F257" s="15" t="s">
        <v>575</v>
      </c>
      <c r="G257" s="18">
        <f>G258+G259</f>
        <v>400</v>
      </c>
    </row>
    <row r="258" spans="1:7" ht="19.5" customHeight="1">
      <c r="A258" s="16" t="s">
        <v>1377</v>
      </c>
      <c r="B258" s="51" t="s">
        <v>106</v>
      </c>
      <c r="C258" s="15" t="s">
        <v>1651</v>
      </c>
      <c r="D258" s="15" t="s">
        <v>1648</v>
      </c>
      <c r="E258" s="15" t="s">
        <v>854</v>
      </c>
      <c r="F258" s="15" t="s">
        <v>385</v>
      </c>
      <c r="G258" s="18">
        <v>1.2</v>
      </c>
    </row>
    <row r="259" spans="1:7" ht="19.5" customHeight="1">
      <c r="A259" s="35" t="s">
        <v>528</v>
      </c>
      <c r="B259" s="51" t="s">
        <v>106</v>
      </c>
      <c r="C259" s="15" t="s">
        <v>1651</v>
      </c>
      <c r="D259" s="15" t="s">
        <v>1648</v>
      </c>
      <c r="E259" s="15" t="s">
        <v>854</v>
      </c>
      <c r="F259" s="15" t="s">
        <v>1644</v>
      </c>
      <c r="G259" s="18">
        <f>G260</f>
        <v>398.8</v>
      </c>
    </row>
    <row r="260" spans="1:7" ht="19.5" customHeight="1">
      <c r="A260" s="35" t="s">
        <v>1535</v>
      </c>
      <c r="B260" s="51" t="s">
        <v>106</v>
      </c>
      <c r="C260" s="15" t="s">
        <v>1651</v>
      </c>
      <c r="D260" s="15" t="s">
        <v>1648</v>
      </c>
      <c r="E260" s="15" t="s">
        <v>854</v>
      </c>
      <c r="F260" s="15" t="s">
        <v>1536</v>
      </c>
      <c r="G260" s="18">
        <f>400-1.2</f>
        <v>398.8</v>
      </c>
    </row>
    <row r="261" spans="1:7" ht="20.25" customHeight="1" hidden="1">
      <c r="A261" s="16" t="s">
        <v>270</v>
      </c>
      <c r="B261" s="51" t="s">
        <v>106</v>
      </c>
      <c r="C261" s="15" t="s">
        <v>1651</v>
      </c>
      <c r="D261" s="15" t="s">
        <v>1648</v>
      </c>
      <c r="E261" s="15" t="s">
        <v>854</v>
      </c>
      <c r="F261" s="15" t="s">
        <v>271</v>
      </c>
      <c r="G261" s="18">
        <f>G262</f>
        <v>0</v>
      </c>
    </row>
    <row r="262" spans="1:7" ht="21" customHeight="1" hidden="1">
      <c r="A262" s="16" t="s">
        <v>269</v>
      </c>
      <c r="B262" s="51" t="s">
        <v>106</v>
      </c>
      <c r="C262" s="15" t="s">
        <v>1651</v>
      </c>
      <c r="D262" s="15" t="s">
        <v>1648</v>
      </c>
      <c r="E262" s="15" t="s">
        <v>854</v>
      </c>
      <c r="F262" s="15" t="s">
        <v>570</v>
      </c>
      <c r="G262" s="18">
        <f>365-365</f>
        <v>0</v>
      </c>
    </row>
    <row r="263" spans="1:7" ht="15">
      <c r="A263" s="29" t="s">
        <v>220</v>
      </c>
      <c r="B263" s="51" t="s">
        <v>106</v>
      </c>
      <c r="C263" s="15" t="s">
        <v>1651</v>
      </c>
      <c r="D263" s="15" t="s">
        <v>1651</v>
      </c>
      <c r="E263" s="15"/>
      <c r="F263" s="15"/>
      <c r="G263" s="18">
        <f>G265+G273</f>
        <v>17590</v>
      </c>
    </row>
    <row r="264" spans="1:7" ht="36" hidden="1">
      <c r="A264" s="35" t="s">
        <v>34</v>
      </c>
      <c r="B264" s="51" t="s">
        <v>106</v>
      </c>
      <c r="C264" s="15" t="s">
        <v>1651</v>
      </c>
      <c r="D264" s="15" t="s">
        <v>1651</v>
      </c>
      <c r="E264" s="15" t="s">
        <v>35</v>
      </c>
      <c r="F264" s="15"/>
      <c r="G264" s="18">
        <f>G265</f>
        <v>0</v>
      </c>
    </row>
    <row r="265" spans="1:7" ht="24.75" hidden="1">
      <c r="A265" s="35" t="s">
        <v>1107</v>
      </c>
      <c r="B265" s="51" t="s">
        <v>106</v>
      </c>
      <c r="C265" s="15" t="s">
        <v>1651</v>
      </c>
      <c r="D265" s="15" t="s">
        <v>1651</v>
      </c>
      <c r="E265" s="15" t="s">
        <v>971</v>
      </c>
      <c r="F265" s="15" t="s">
        <v>575</v>
      </c>
      <c r="G265" s="18">
        <f>G266+G267+G268+G269</f>
        <v>0</v>
      </c>
    </row>
    <row r="266" spans="1:7" ht="24.75" hidden="1">
      <c r="A266" s="16" t="s">
        <v>1108</v>
      </c>
      <c r="B266" s="51" t="s">
        <v>106</v>
      </c>
      <c r="C266" s="15" t="s">
        <v>1651</v>
      </c>
      <c r="D266" s="15" t="s">
        <v>1651</v>
      </c>
      <c r="E266" s="15" t="s">
        <v>971</v>
      </c>
      <c r="F266" s="15" t="s">
        <v>1899</v>
      </c>
      <c r="G266" s="18"/>
    </row>
    <row r="267" spans="1:7" ht="24.75" hidden="1">
      <c r="A267" s="16" t="s">
        <v>1667</v>
      </c>
      <c r="B267" s="51" t="s">
        <v>106</v>
      </c>
      <c r="C267" s="15" t="s">
        <v>1651</v>
      </c>
      <c r="D267" s="15" t="s">
        <v>1651</v>
      </c>
      <c r="E267" s="15" t="s">
        <v>971</v>
      </c>
      <c r="F267" s="15" t="s">
        <v>30</v>
      </c>
      <c r="G267" s="18"/>
    </row>
    <row r="268" spans="1:7" ht="24.75" hidden="1">
      <c r="A268" s="16" t="s">
        <v>270</v>
      </c>
      <c r="B268" s="51" t="s">
        <v>106</v>
      </c>
      <c r="C268" s="15" t="s">
        <v>1651</v>
      </c>
      <c r="D268" s="15" t="s">
        <v>1651</v>
      </c>
      <c r="E268" s="15" t="s">
        <v>971</v>
      </c>
      <c r="F268" s="15" t="s">
        <v>271</v>
      </c>
      <c r="G268" s="18"/>
    </row>
    <row r="269" spans="1:7" ht="24.75" hidden="1">
      <c r="A269" s="16" t="s">
        <v>396</v>
      </c>
      <c r="B269" s="51" t="s">
        <v>106</v>
      </c>
      <c r="C269" s="15" t="s">
        <v>1651</v>
      </c>
      <c r="D269" s="15" t="s">
        <v>1651</v>
      </c>
      <c r="E269" s="15" t="s">
        <v>971</v>
      </c>
      <c r="F269" s="15" t="s">
        <v>1433</v>
      </c>
      <c r="G269" s="18"/>
    </row>
    <row r="270" spans="1:7" ht="22.5" customHeight="1" hidden="1">
      <c r="A270" s="16" t="s">
        <v>270</v>
      </c>
      <c r="B270" s="51" t="s">
        <v>106</v>
      </c>
      <c r="C270" s="15" t="s">
        <v>1651</v>
      </c>
      <c r="D270" s="15" t="s">
        <v>1651</v>
      </c>
      <c r="E270" s="15" t="s">
        <v>1119</v>
      </c>
      <c r="F270" s="15" t="s">
        <v>271</v>
      </c>
      <c r="G270" s="18">
        <f>G271</f>
        <v>0</v>
      </c>
    </row>
    <row r="271" spans="1:7" ht="24" customHeight="1" hidden="1">
      <c r="A271" s="16" t="s">
        <v>368</v>
      </c>
      <c r="B271" s="51" t="s">
        <v>106</v>
      </c>
      <c r="C271" s="15" t="s">
        <v>1651</v>
      </c>
      <c r="D271" s="15" t="s">
        <v>1651</v>
      </c>
      <c r="E271" s="15" t="s">
        <v>1559</v>
      </c>
      <c r="F271" s="15" t="s">
        <v>180</v>
      </c>
      <c r="G271" s="18">
        <f>G272</f>
        <v>0</v>
      </c>
    </row>
    <row r="272" spans="1:7" ht="23.25" customHeight="1" hidden="1">
      <c r="A272" s="16" t="s">
        <v>181</v>
      </c>
      <c r="B272" s="51" t="s">
        <v>106</v>
      </c>
      <c r="C272" s="15" t="s">
        <v>1651</v>
      </c>
      <c r="D272" s="15" t="s">
        <v>1651</v>
      </c>
      <c r="E272" s="15" t="s">
        <v>1119</v>
      </c>
      <c r="F272" s="15" t="s">
        <v>180</v>
      </c>
      <c r="G272" s="18">
        <f>10000-10000</f>
        <v>0</v>
      </c>
    </row>
    <row r="273" spans="1:7" ht="15">
      <c r="A273" s="31" t="s">
        <v>1664</v>
      </c>
      <c r="B273" s="51" t="s">
        <v>106</v>
      </c>
      <c r="C273" s="15" t="s">
        <v>1651</v>
      </c>
      <c r="D273" s="15" t="s">
        <v>1651</v>
      </c>
      <c r="E273" s="15" t="s">
        <v>1663</v>
      </c>
      <c r="F273" s="15"/>
      <c r="G273" s="18">
        <f>G274</f>
        <v>17590</v>
      </c>
    </row>
    <row r="274" spans="1:7" ht="24" customHeight="1">
      <c r="A274" s="118" t="s">
        <v>343</v>
      </c>
      <c r="B274" s="51" t="s">
        <v>106</v>
      </c>
      <c r="C274" s="15" t="s">
        <v>1651</v>
      </c>
      <c r="D274" s="15" t="s">
        <v>1651</v>
      </c>
      <c r="E274" s="15" t="s">
        <v>1900</v>
      </c>
      <c r="F274" s="15" t="s">
        <v>575</v>
      </c>
      <c r="G274" s="18">
        <f>G275+G276+G277+G280</f>
        <v>17590</v>
      </c>
    </row>
    <row r="275" spans="1:7" ht="24" customHeight="1">
      <c r="A275" s="35" t="s">
        <v>1535</v>
      </c>
      <c r="B275" s="51" t="s">
        <v>106</v>
      </c>
      <c r="C275" s="15" t="s">
        <v>1651</v>
      </c>
      <c r="D275" s="15" t="s">
        <v>1651</v>
      </c>
      <c r="E275" s="15" t="s">
        <v>1900</v>
      </c>
      <c r="F275" s="15" t="s">
        <v>1536</v>
      </c>
      <c r="G275" s="18">
        <f>150-117.8</f>
        <v>32.2</v>
      </c>
    </row>
    <row r="276" spans="1:7" ht="24">
      <c r="A276" s="35" t="s">
        <v>843</v>
      </c>
      <c r="B276" s="51" t="s">
        <v>106</v>
      </c>
      <c r="C276" s="15" t="s">
        <v>1651</v>
      </c>
      <c r="D276" s="15" t="s">
        <v>1651</v>
      </c>
      <c r="E276" s="15" t="s">
        <v>1900</v>
      </c>
      <c r="F276" s="15" t="s">
        <v>844</v>
      </c>
      <c r="G276" s="18">
        <f>1300+309.5</f>
        <v>1609.5</v>
      </c>
    </row>
    <row r="277" spans="1:7" ht="24">
      <c r="A277" s="16" t="s">
        <v>270</v>
      </c>
      <c r="B277" s="51" t="s">
        <v>106</v>
      </c>
      <c r="C277" s="15" t="s">
        <v>1651</v>
      </c>
      <c r="D277" s="15" t="s">
        <v>1651</v>
      </c>
      <c r="E277" s="15" t="s">
        <v>1900</v>
      </c>
      <c r="F277" s="15" t="s">
        <v>271</v>
      </c>
      <c r="G277" s="18">
        <f>G278</f>
        <v>1519.1</v>
      </c>
    </row>
    <row r="278" spans="1:7" ht="24">
      <c r="A278" s="16" t="s">
        <v>1003</v>
      </c>
      <c r="B278" s="51" t="s">
        <v>106</v>
      </c>
      <c r="C278" s="15" t="s">
        <v>1651</v>
      </c>
      <c r="D278" s="15" t="s">
        <v>1651</v>
      </c>
      <c r="E278" s="15" t="s">
        <v>1900</v>
      </c>
      <c r="F278" s="15" t="s">
        <v>180</v>
      </c>
      <c r="G278" s="18">
        <f>G279</f>
        <v>1519.1</v>
      </c>
    </row>
    <row r="279" spans="1:7" ht="24">
      <c r="A279" s="16" t="s">
        <v>345</v>
      </c>
      <c r="B279" s="51" t="s">
        <v>106</v>
      </c>
      <c r="C279" s="15" t="s">
        <v>1651</v>
      </c>
      <c r="D279" s="15" t="s">
        <v>1651</v>
      </c>
      <c r="E279" s="15" t="s">
        <v>1900</v>
      </c>
      <c r="F279" s="15" t="s">
        <v>180</v>
      </c>
      <c r="G279" s="18">
        <f>17590-15990-80.9</f>
        <v>1519.1</v>
      </c>
    </row>
    <row r="280" spans="1:7" ht="24">
      <c r="A280" s="16" t="s">
        <v>396</v>
      </c>
      <c r="B280" s="51" t="s">
        <v>106</v>
      </c>
      <c r="C280" s="15" t="s">
        <v>1651</v>
      </c>
      <c r="D280" s="15" t="s">
        <v>1651</v>
      </c>
      <c r="E280" s="15" t="s">
        <v>1900</v>
      </c>
      <c r="F280" s="15" t="s">
        <v>1433</v>
      </c>
      <c r="G280" s="18">
        <f>G281</f>
        <v>14429.2</v>
      </c>
    </row>
    <row r="281" spans="1:7" ht="24">
      <c r="A281" s="16" t="s">
        <v>1027</v>
      </c>
      <c r="B281" s="51" t="s">
        <v>106</v>
      </c>
      <c r="C281" s="15" t="s">
        <v>1651</v>
      </c>
      <c r="D281" s="15" t="s">
        <v>1651</v>
      </c>
      <c r="E281" s="15" t="s">
        <v>1900</v>
      </c>
      <c r="F281" s="15" t="s">
        <v>1196</v>
      </c>
      <c r="G281" s="18">
        <f>G282</f>
        <v>14429.2</v>
      </c>
    </row>
    <row r="282" spans="1:7" ht="24">
      <c r="A282" s="16" t="s">
        <v>345</v>
      </c>
      <c r="B282" s="51" t="s">
        <v>106</v>
      </c>
      <c r="C282" s="15" t="s">
        <v>1651</v>
      </c>
      <c r="D282" s="15" t="s">
        <v>1651</v>
      </c>
      <c r="E282" s="15" t="s">
        <v>1900</v>
      </c>
      <c r="F282" s="15" t="s">
        <v>1196</v>
      </c>
      <c r="G282" s="18">
        <f>14540-110.8</f>
        <v>14429.2</v>
      </c>
    </row>
    <row r="283" spans="1:7" ht="15">
      <c r="A283" s="194" t="s">
        <v>2005</v>
      </c>
      <c r="B283" s="51" t="s">
        <v>106</v>
      </c>
      <c r="C283" s="15" t="s">
        <v>1651</v>
      </c>
      <c r="D283" s="15" t="s">
        <v>1652</v>
      </c>
      <c r="E283" s="15"/>
      <c r="F283" s="15"/>
      <c r="G283" s="18">
        <f>G284+G292+G297+G300+G309+G326+G338</f>
        <v>129465.20000000001</v>
      </c>
    </row>
    <row r="284" spans="1:7" ht="36">
      <c r="A284" s="30" t="s">
        <v>778</v>
      </c>
      <c r="B284" s="51" t="s">
        <v>106</v>
      </c>
      <c r="C284" s="15" t="s">
        <v>1651</v>
      </c>
      <c r="D284" s="15" t="s">
        <v>1652</v>
      </c>
      <c r="E284" s="15" t="s">
        <v>1543</v>
      </c>
      <c r="F284" s="15"/>
      <c r="G284" s="18">
        <f>G285+G290</f>
        <v>30884.8</v>
      </c>
    </row>
    <row r="285" spans="1:7" ht="24">
      <c r="A285" s="16" t="s">
        <v>500</v>
      </c>
      <c r="B285" s="51" t="s">
        <v>106</v>
      </c>
      <c r="C285" s="15" t="s">
        <v>1651</v>
      </c>
      <c r="D285" s="15" t="s">
        <v>1652</v>
      </c>
      <c r="E285" s="15" t="s">
        <v>229</v>
      </c>
      <c r="F285" s="15" t="s">
        <v>575</v>
      </c>
      <c r="G285" s="18">
        <f>G286+G287</f>
        <v>30831.8</v>
      </c>
    </row>
    <row r="286" spans="1:7" ht="24">
      <c r="A286" s="35" t="s">
        <v>382</v>
      </c>
      <c r="B286" s="51" t="s">
        <v>106</v>
      </c>
      <c r="C286" s="15" t="s">
        <v>1651</v>
      </c>
      <c r="D286" s="15" t="s">
        <v>1652</v>
      </c>
      <c r="E286" s="15" t="s">
        <v>229</v>
      </c>
      <c r="F286" s="15" t="s">
        <v>383</v>
      </c>
      <c r="G286" s="18">
        <f>26256.5+123.8</f>
        <v>26380.3</v>
      </c>
    </row>
    <row r="287" spans="1:7" ht="24">
      <c r="A287" s="35" t="s">
        <v>528</v>
      </c>
      <c r="B287" s="51" t="s">
        <v>106</v>
      </c>
      <c r="C287" s="15" t="s">
        <v>1651</v>
      </c>
      <c r="D287" s="15" t="s">
        <v>1652</v>
      </c>
      <c r="E287" s="15" t="s">
        <v>229</v>
      </c>
      <c r="F287" s="15" t="s">
        <v>1644</v>
      </c>
      <c r="G287" s="18">
        <f>G288+G289</f>
        <v>4451.5</v>
      </c>
    </row>
    <row r="288" spans="1:7" ht="24">
      <c r="A288" s="35" t="s">
        <v>848</v>
      </c>
      <c r="B288" s="51" t="s">
        <v>106</v>
      </c>
      <c r="C288" s="15" t="s">
        <v>1651</v>
      </c>
      <c r="D288" s="15" t="s">
        <v>1652</v>
      </c>
      <c r="E288" s="15" t="s">
        <v>229</v>
      </c>
      <c r="F288" s="15" t="s">
        <v>846</v>
      </c>
      <c r="G288" s="18">
        <f>700+21</f>
        <v>721</v>
      </c>
    </row>
    <row r="289" spans="1:7" ht="24">
      <c r="A289" s="35" t="s">
        <v>1535</v>
      </c>
      <c r="B289" s="51" t="s">
        <v>106</v>
      </c>
      <c r="C289" s="15" t="s">
        <v>1651</v>
      </c>
      <c r="D289" s="15" t="s">
        <v>1652</v>
      </c>
      <c r="E289" s="15" t="s">
        <v>229</v>
      </c>
      <c r="F289" s="15" t="s">
        <v>1536</v>
      </c>
      <c r="G289" s="18">
        <v>3730.5</v>
      </c>
    </row>
    <row r="290" spans="1:7" ht="24">
      <c r="A290" s="16" t="s">
        <v>1665</v>
      </c>
      <c r="B290" s="51" t="s">
        <v>106</v>
      </c>
      <c r="C290" s="15" t="s">
        <v>1651</v>
      </c>
      <c r="D290" s="15" t="s">
        <v>1652</v>
      </c>
      <c r="E290" s="15" t="s">
        <v>1635</v>
      </c>
      <c r="F290" s="15" t="s">
        <v>575</v>
      </c>
      <c r="G290" s="18">
        <f>G291</f>
        <v>53</v>
      </c>
    </row>
    <row r="291" spans="1:7" ht="20.25" customHeight="1">
      <c r="A291" s="16" t="s">
        <v>1665</v>
      </c>
      <c r="B291" s="51" t="s">
        <v>106</v>
      </c>
      <c r="C291" s="15" t="s">
        <v>1651</v>
      </c>
      <c r="D291" s="15" t="s">
        <v>1652</v>
      </c>
      <c r="E291" s="15" t="s">
        <v>1635</v>
      </c>
      <c r="F291" s="15" t="s">
        <v>1066</v>
      </c>
      <c r="G291" s="18">
        <v>53</v>
      </c>
    </row>
    <row r="292" spans="1:7" ht="15.75" customHeight="1">
      <c r="A292" s="30" t="s">
        <v>904</v>
      </c>
      <c r="B292" s="51" t="s">
        <v>106</v>
      </c>
      <c r="C292" s="15" t="s">
        <v>1651</v>
      </c>
      <c r="D292" s="15" t="s">
        <v>1652</v>
      </c>
      <c r="E292" s="15" t="s">
        <v>1964</v>
      </c>
      <c r="F292" s="15"/>
      <c r="G292" s="18">
        <f>G297+G293+G295</f>
        <v>16319</v>
      </c>
    </row>
    <row r="293" spans="1:7" ht="70.5" customHeight="1">
      <c r="A293" s="16" t="s">
        <v>54</v>
      </c>
      <c r="B293" s="51" t="s">
        <v>106</v>
      </c>
      <c r="C293" s="15" t="s">
        <v>1651</v>
      </c>
      <c r="D293" s="15" t="s">
        <v>1652</v>
      </c>
      <c r="E293" s="15" t="s">
        <v>681</v>
      </c>
      <c r="F293" s="15" t="s">
        <v>575</v>
      </c>
      <c r="G293" s="18">
        <f>G294</f>
        <v>15662</v>
      </c>
    </row>
    <row r="294" spans="1:7" ht="28.5" customHeight="1">
      <c r="A294" s="16" t="s">
        <v>662</v>
      </c>
      <c r="B294" s="51" t="s">
        <v>106</v>
      </c>
      <c r="C294" s="15" t="s">
        <v>1651</v>
      </c>
      <c r="D294" s="15" t="s">
        <v>1652</v>
      </c>
      <c r="E294" s="15" t="s">
        <v>681</v>
      </c>
      <c r="F294" s="15" t="s">
        <v>663</v>
      </c>
      <c r="G294" s="18">
        <f>14781+881</f>
        <v>15662</v>
      </c>
    </row>
    <row r="295" spans="1:7" ht="45.75" customHeight="1">
      <c r="A295" s="16" t="s">
        <v>129</v>
      </c>
      <c r="B295" s="51" t="s">
        <v>106</v>
      </c>
      <c r="C295" s="15" t="s">
        <v>1651</v>
      </c>
      <c r="D295" s="15" t="s">
        <v>1652</v>
      </c>
      <c r="E295" s="15" t="s">
        <v>606</v>
      </c>
      <c r="F295" s="15" t="s">
        <v>575</v>
      </c>
      <c r="G295" s="18">
        <f>G296</f>
        <v>657</v>
      </c>
    </row>
    <row r="296" spans="1:7" ht="28.5" customHeight="1">
      <c r="A296" s="16" t="s">
        <v>662</v>
      </c>
      <c r="B296" s="51" t="s">
        <v>106</v>
      </c>
      <c r="C296" s="15" t="s">
        <v>1651</v>
      </c>
      <c r="D296" s="15" t="s">
        <v>1652</v>
      </c>
      <c r="E296" s="15" t="s">
        <v>606</v>
      </c>
      <c r="F296" s="15" t="s">
        <v>663</v>
      </c>
      <c r="G296" s="18">
        <f>548+109</f>
        <v>657</v>
      </c>
    </row>
    <row r="297" spans="1:7" ht="22.5" customHeight="1" hidden="1">
      <c r="A297" s="31" t="s">
        <v>112</v>
      </c>
      <c r="B297" s="51" t="s">
        <v>106</v>
      </c>
      <c r="C297" s="15" t="s">
        <v>1651</v>
      </c>
      <c r="D297" s="15" t="s">
        <v>1652</v>
      </c>
      <c r="E297" s="15" t="s">
        <v>113</v>
      </c>
      <c r="F297" s="15" t="s">
        <v>575</v>
      </c>
      <c r="G297" s="18">
        <f>G298+G299</f>
        <v>0</v>
      </c>
    </row>
    <row r="298" spans="1:7" ht="19.5" customHeight="1" hidden="1">
      <c r="A298" s="16" t="s">
        <v>1898</v>
      </c>
      <c r="B298" s="51" t="s">
        <v>106</v>
      </c>
      <c r="C298" s="15" t="s">
        <v>1651</v>
      </c>
      <c r="D298" s="15" t="s">
        <v>1652</v>
      </c>
      <c r="E298" s="15" t="s">
        <v>113</v>
      </c>
      <c r="F298" s="15" t="s">
        <v>1899</v>
      </c>
      <c r="G298" s="18">
        <f>418-418</f>
        <v>0</v>
      </c>
    </row>
    <row r="299" spans="1:7" ht="22.5" customHeight="1" hidden="1">
      <c r="A299" s="16" t="s">
        <v>108</v>
      </c>
      <c r="B299" s="51" t="s">
        <v>106</v>
      </c>
      <c r="C299" s="15" t="s">
        <v>1651</v>
      </c>
      <c r="D299" s="15" t="s">
        <v>1652</v>
      </c>
      <c r="E299" s="15" t="s">
        <v>113</v>
      </c>
      <c r="F299" s="15" t="s">
        <v>30</v>
      </c>
      <c r="G299" s="18">
        <f>7931-7931</f>
        <v>0</v>
      </c>
    </row>
    <row r="300" spans="1:7" ht="17.25" customHeight="1" hidden="1">
      <c r="A300" s="30" t="s">
        <v>1554</v>
      </c>
      <c r="B300" s="51" t="s">
        <v>106</v>
      </c>
      <c r="C300" s="15" t="s">
        <v>1651</v>
      </c>
      <c r="D300" s="15" t="s">
        <v>1652</v>
      </c>
      <c r="E300" s="15" t="s">
        <v>1555</v>
      </c>
      <c r="F300" s="15"/>
      <c r="G300" s="18">
        <f>G301+G303+G306</f>
        <v>0</v>
      </c>
    </row>
    <row r="301" spans="1:7" ht="15.75" hidden="1">
      <c r="A301" s="35" t="s">
        <v>591</v>
      </c>
      <c r="B301" s="51" t="s">
        <v>106</v>
      </c>
      <c r="C301" s="15" t="s">
        <v>1651</v>
      </c>
      <c r="D301" s="15" t="s">
        <v>1652</v>
      </c>
      <c r="E301" s="15" t="s">
        <v>592</v>
      </c>
      <c r="F301" s="15"/>
      <c r="G301" s="18">
        <f>G302+G305</f>
        <v>0</v>
      </c>
    </row>
    <row r="302" spans="1:7" ht="21" customHeight="1" hidden="1">
      <c r="A302" s="16" t="s">
        <v>359</v>
      </c>
      <c r="B302" s="51" t="s">
        <v>106</v>
      </c>
      <c r="C302" s="15" t="s">
        <v>1651</v>
      </c>
      <c r="D302" s="15" t="s">
        <v>1652</v>
      </c>
      <c r="E302" s="15" t="s">
        <v>592</v>
      </c>
      <c r="F302" s="15" t="s">
        <v>360</v>
      </c>
      <c r="G302" s="18"/>
    </row>
    <row r="303" spans="1:7" ht="23.25" customHeight="1" hidden="1">
      <c r="A303" s="35" t="s">
        <v>1442</v>
      </c>
      <c r="B303" s="51" t="s">
        <v>106</v>
      </c>
      <c r="C303" s="15" t="s">
        <v>1651</v>
      </c>
      <c r="D303" s="15" t="s">
        <v>1652</v>
      </c>
      <c r="E303" s="15" t="s">
        <v>593</v>
      </c>
      <c r="F303" s="15"/>
      <c r="G303" s="18">
        <f>G304</f>
        <v>0</v>
      </c>
    </row>
    <row r="304" spans="1:7" ht="24.75" customHeight="1" hidden="1">
      <c r="A304" s="16" t="s">
        <v>359</v>
      </c>
      <c r="B304" s="51" t="s">
        <v>106</v>
      </c>
      <c r="C304" s="15" t="s">
        <v>1651</v>
      </c>
      <c r="D304" s="15" t="s">
        <v>1652</v>
      </c>
      <c r="E304" s="15" t="s">
        <v>593</v>
      </c>
      <c r="F304" s="15" t="s">
        <v>360</v>
      </c>
      <c r="G304" s="18"/>
    </row>
    <row r="305" spans="1:7" ht="24.75" hidden="1">
      <c r="A305" s="16" t="s">
        <v>955</v>
      </c>
      <c r="B305" s="51" t="s">
        <v>106</v>
      </c>
      <c r="C305" s="15" t="s">
        <v>1651</v>
      </c>
      <c r="D305" s="15" t="s">
        <v>1652</v>
      </c>
      <c r="E305" s="15" t="s">
        <v>592</v>
      </c>
      <c r="F305" s="15" t="s">
        <v>956</v>
      </c>
      <c r="G305" s="18">
        <f>154-154</f>
        <v>0</v>
      </c>
    </row>
    <row r="306" spans="1:7" ht="24.75" hidden="1">
      <c r="A306" s="35" t="s">
        <v>1901</v>
      </c>
      <c r="B306" s="51" t="s">
        <v>106</v>
      </c>
      <c r="C306" s="15" t="s">
        <v>1651</v>
      </c>
      <c r="D306" s="15" t="s">
        <v>1652</v>
      </c>
      <c r="E306" s="15" t="s">
        <v>1902</v>
      </c>
      <c r="F306" s="15" t="s">
        <v>575</v>
      </c>
      <c r="G306" s="18">
        <f>G307+G308</f>
        <v>0</v>
      </c>
    </row>
    <row r="307" spans="1:7" ht="24.75" hidden="1">
      <c r="A307" s="16" t="s">
        <v>270</v>
      </c>
      <c r="B307" s="51" t="s">
        <v>106</v>
      </c>
      <c r="C307" s="15" t="s">
        <v>1651</v>
      </c>
      <c r="D307" s="15" t="s">
        <v>1652</v>
      </c>
      <c r="E307" s="15" t="s">
        <v>1902</v>
      </c>
      <c r="F307" s="15" t="s">
        <v>271</v>
      </c>
      <c r="G307" s="18"/>
    </row>
    <row r="308" spans="1:7" ht="24.75" hidden="1">
      <c r="A308" s="16" t="s">
        <v>396</v>
      </c>
      <c r="B308" s="51" t="s">
        <v>106</v>
      </c>
      <c r="C308" s="15" t="s">
        <v>1651</v>
      </c>
      <c r="D308" s="15" t="s">
        <v>1652</v>
      </c>
      <c r="E308" s="15" t="s">
        <v>1902</v>
      </c>
      <c r="F308" s="15" t="s">
        <v>1433</v>
      </c>
      <c r="G308" s="18"/>
    </row>
    <row r="309" spans="1:7" ht="48">
      <c r="A309" s="191" t="s">
        <v>1887</v>
      </c>
      <c r="B309" s="51" t="s">
        <v>106</v>
      </c>
      <c r="C309" s="15" t="s">
        <v>1651</v>
      </c>
      <c r="D309" s="15" t="s">
        <v>1652</v>
      </c>
      <c r="E309" s="15" t="s">
        <v>2006</v>
      </c>
      <c r="F309" s="15"/>
      <c r="G309" s="18">
        <f>G310+G313+G319+G316</f>
        <v>4600.1</v>
      </c>
    </row>
    <row r="310" spans="1:7" ht="192">
      <c r="A310" s="35" t="s">
        <v>822</v>
      </c>
      <c r="B310" s="51" t="s">
        <v>106</v>
      </c>
      <c r="C310" s="15" t="s">
        <v>1651</v>
      </c>
      <c r="D310" s="15" t="s">
        <v>1652</v>
      </c>
      <c r="E310" s="15" t="s">
        <v>805</v>
      </c>
      <c r="F310" s="15" t="s">
        <v>575</v>
      </c>
      <c r="G310" s="18">
        <f>G311</f>
        <v>3322</v>
      </c>
    </row>
    <row r="311" spans="1:7" ht="24">
      <c r="A311" s="16" t="s">
        <v>396</v>
      </c>
      <c r="B311" s="51" t="s">
        <v>106</v>
      </c>
      <c r="C311" s="15" t="s">
        <v>1651</v>
      </c>
      <c r="D311" s="15" t="s">
        <v>1652</v>
      </c>
      <c r="E311" s="15" t="s">
        <v>805</v>
      </c>
      <c r="F311" s="15" t="s">
        <v>1433</v>
      </c>
      <c r="G311" s="18">
        <f>G312</f>
        <v>3322</v>
      </c>
    </row>
    <row r="312" spans="1:7" ht="24">
      <c r="A312" s="16" t="s">
        <v>395</v>
      </c>
      <c r="B312" s="51" t="s">
        <v>106</v>
      </c>
      <c r="C312" s="15" t="s">
        <v>1651</v>
      </c>
      <c r="D312" s="15" t="s">
        <v>1652</v>
      </c>
      <c r="E312" s="15" t="s">
        <v>805</v>
      </c>
      <c r="F312" s="15" t="s">
        <v>1434</v>
      </c>
      <c r="G312" s="18">
        <f>2410+912</f>
        <v>3322</v>
      </c>
    </row>
    <row r="313" spans="1:7" ht="108">
      <c r="A313" s="35" t="s">
        <v>827</v>
      </c>
      <c r="B313" s="51" t="s">
        <v>106</v>
      </c>
      <c r="C313" s="15" t="s">
        <v>1651</v>
      </c>
      <c r="D313" s="15" t="s">
        <v>1652</v>
      </c>
      <c r="E313" s="15" t="s">
        <v>1564</v>
      </c>
      <c r="F313" s="15" t="s">
        <v>575</v>
      </c>
      <c r="G313" s="18">
        <f>G314</f>
        <v>7.099999999999909</v>
      </c>
    </row>
    <row r="314" spans="1:7" ht="24">
      <c r="A314" s="16" t="s">
        <v>396</v>
      </c>
      <c r="B314" s="51" t="s">
        <v>106</v>
      </c>
      <c r="C314" s="15" t="s">
        <v>1651</v>
      </c>
      <c r="D314" s="15" t="s">
        <v>1652</v>
      </c>
      <c r="E314" s="15" t="s">
        <v>1564</v>
      </c>
      <c r="F314" s="15" t="s">
        <v>1433</v>
      </c>
      <c r="G314" s="18">
        <f>G315</f>
        <v>7.099999999999909</v>
      </c>
    </row>
    <row r="315" spans="1:7" ht="24">
      <c r="A315" s="16" t="s">
        <v>395</v>
      </c>
      <c r="B315" s="51" t="s">
        <v>106</v>
      </c>
      <c r="C315" s="15" t="s">
        <v>1651</v>
      </c>
      <c r="D315" s="15" t="s">
        <v>1652</v>
      </c>
      <c r="E315" s="15" t="s">
        <v>1564</v>
      </c>
      <c r="F315" s="15" t="s">
        <v>1434</v>
      </c>
      <c r="G315" s="18">
        <f>2410+7.1-2410</f>
        <v>7.099999999999909</v>
      </c>
    </row>
    <row r="316" spans="1:7" ht="60">
      <c r="A316" s="195" t="s">
        <v>318</v>
      </c>
      <c r="B316" s="51" t="s">
        <v>106</v>
      </c>
      <c r="C316" s="15" t="s">
        <v>1651</v>
      </c>
      <c r="D316" s="15" t="s">
        <v>1652</v>
      </c>
      <c r="E316" s="15" t="s">
        <v>682</v>
      </c>
      <c r="F316" s="15" t="s">
        <v>575</v>
      </c>
      <c r="G316" s="18">
        <f>G317</f>
        <v>1271</v>
      </c>
    </row>
    <row r="317" spans="1:7" ht="24">
      <c r="A317" s="16" t="s">
        <v>270</v>
      </c>
      <c r="B317" s="51" t="s">
        <v>106</v>
      </c>
      <c r="C317" s="15" t="s">
        <v>1651</v>
      </c>
      <c r="D317" s="15" t="s">
        <v>1652</v>
      </c>
      <c r="E317" s="15" t="s">
        <v>682</v>
      </c>
      <c r="F317" s="15" t="s">
        <v>271</v>
      </c>
      <c r="G317" s="18">
        <f>G318</f>
        <v>1271</v>
      </c>
    </row>
    <row r="318" spans="1:7" ht="24">
      <c r="A318" s="16" t="s">
        <v>269</v>
      </c>
      <c r="B318" s="51" t="s">
        <v>106</v>
      </c>
      <c r="C318" s="15" t="s">
        <v>1651</v>
      </c>
      <c r="D318" s="15" t="s">
        <v>1652</v>
      </c>
      <c r="E318" s="15" t="s">
        <v>682</v>
      </c>
      <c r="F318" s="15" t="s">
        <v>570</v>
      </c>
      <c r="G318" s="18">
        <v>1271</v>
      </c>
    </row>
    <row r="319" spans="1:7" ht="24.75" hidden="1">
      <c r="A319" s="16" t="s">
        <v>2002</v>
      </c>
      <c r="B319" s="51" t="s">
        <v>106</v>
      </c>
      <c r="C319" s="15" t="s">
        <v>1651</v>
      </c>
      <c r="D319" s="15" t="s">
        <v>1652</v>
      </c>
      <c r="E319" s="15" t="s">
        <v>594</v>
      </c>
      <c r="F319" s="15" t="s">
        <v>575</v>
      </c>
      <c r="G319" s="18">
        <f>G320+G324</f>
        <v>0</v>
      </c>
    </row>
    <row r="320" spans="1:7" ht="24.75" hidden="1">
      <c r="A320" s="16" t="s">
        <v>270</v>
      </c>
      <c r="B320" s="51" t="s">
        <v>106</v>
      </c>
      <c r="C320" s="15" t="s">
        <v>1651</v>
      </c>
      <c r="D320" s="15" t="s">
        <v>1652</v>
      </c>
      <c r="E320" s="15" t="s">
        <v>594</v>
      </c>
      <c r="F320" s="15" t="s">
        <v>271</v>
      </c>
      <c r="G320" s="18">
        <f>G321+G322</f>
        <v>0</v>
      </c>
    </row>
    <row r="321" spans="1:7" ht="24.75" hidden="1">
      <c r="A321" s="16" t="s">
        <v>269</v>
      </c>
      <c r="B321" s="51" t="s">
        <v>106</v>
      </c>
      <c r="C321" s="15" t="s">
        <v>1651</v>
      </c>
      <c r="D321" s="15" t="s">
        <v>1652</v>
      </c>
      <c r="E321" s="15" t="s">
        <v>594</v>
      </c>
      <c r="F321" s="15" t="s">
        <v>570</v>
      </c>
      <c r="G321" s="18">
        <f>49143-49143</f>
        <v>0</v>
      </c>
    </row>
    <row r="322" spans="1:7" ht="24.75" hidden="1">
      <c r="A322" s="16" t="s">
        <v>850</v>
      </c>
      <c r="B322" s="51" t="s">
        <v>106</v>
      </c>
      <c r="C322" s="15" t="s">
        <v>1651</v>
      </c>
      <c r="D322" s="15" t="s">
        <v>1652</v>
      </c>
      <c r="E322" s="15" t="s">
        <v>594</v>
      </c>
      <c r="F322" s="15" t="s">
        <v>180</v>
      </c>
      <c r="G322" s="18">
        <f>G323</f>
        <v>0</v>
      </c>
    </row>
    <row r="323" spans="1:7" ht="24.75" hidden="1">
      <c r="A323" s="16" t="s">
        <v>852</v>
      </c>
      <c r="B323" s="51" t="s">
        <v>106</v>
      </c>
      <c r="C323" s="15" t="s">
        <v>1651</v>
      </c>
      <c r="D323" s="15" t="s">
        <v>1652</v>
      </c>
      <c r="E323" s="15" t="s">
        <v>851</v>
      </c>
      <c r="F323" s="15" t="s">
        <v>180</v>
      </c>
      <c r="G323" s="18">
        <v>0</v>
      </c>
    </row>
    <row r="324" spans="1:7" ht="24.75" hidden="1">
      <c r="A324" s="16" t="s">
        <v>396</v>
      </c>
      <c r="B324" s="51" t="s">
        <v>106</v>
      </c>
      <c r="C324" s="15" t="s">
        <v>1651</v>
      </c>
      <c r="D324" s="15" t="s">
        <v>1652</v>
      </c>
      <c r="E324" s="15" t="s">
        <v>594</v>
      </c>
      <c r="F324" s="15" t="s">
        <v>1433</v>
      </c>
      <c r="G324" s="18">
        <f>G325</f>
        <v>0</v>
      </c>
    </row>
    <row r="325" spans="1:7" ht="24.75" hidden="1">
      <c r="A325" s="16" t="s">
        <v>395</v>
      </c>
      <c r="B325" s="51" t="s">
        <v>106</v>
      </c>
      <c r="C325" s="15" t="s">
        <v>1651</v>
      </c>
      <c r="D325" s="15" t="s">
        <v>1652</v>
      </c>
      <c r="E325" s="15" t="s">
        <v>594</v>
      </c>
      <c r="F325" s="15" t="s">
        <v>1434</v>
      </c>
      <c r="G325" s="18">
        <f>7601-7601</f>
        <v>0</v>
      </c>
    </row>
    <row r="326" spans="1:7" ht="15.75" customHeight="1">
      <c r="A326" s="192" t="s">
        <v>1148</v>
      </c>
      <c r="B326" s="51" t="s">
        <v>106</v>
      </c>
      <c r="C326" s="15" t="s">
        <v>1651</v>
      </c>
      <c r="D326" s="15" t="s">
        <v>1652</v>
      </c>
      <c r="E326" s="15" t="s">
        <v>1149</v>
      </c>
      <c r="F326" s="15"/>
      <c r="G326" s="18">
        <f>G327+G333</f>
        <v>801.4</v>
      </c>
    </row>
    <row r="327" spans="1:7" ht="32.25" customHeight="1">
      <c r="A327" s="35" t="s">
        <v>788</v>
      </c>
      <c r="B327" s="51" t="s">
        <v>106</v>
      </c>
      <c r="C327" s="15" t="s">
        <v>1651</v>
      </c>
      <c r="D327" s="15" t="s">
        <v>1652</v>
      </c>
      <c r="E327" s="15" t="s">
        <v>789</v>
      </c>
      <c r="F327" s="15"/>
      <c r="G327" s="18">
        <f>G328</f>
        <v>801.4</v>
      </c>
    </row>
    <row r="328" spans="1:7" ht="45.75" customHeight="1">
      <c r="A328" s="35" t="s">
        <v>790</v>
      </c>
      <c r="B328" s="51" t="s">
        <v>106</v>
      </c>
      <c r="C328" s="15" t="s">
        <v>1651</v>
      </c>
      <c r="D328" s="15" t="s">
        <v>1652</v>
      </c>
      <c r="E328" s="15" t="s">
        <v>791</v>
      </c>
      <c r="F328" s="15" t="s">
        <v>575</v>
      </c>
      <c r="G328" s="18">
        <f>G329+G331</f>
        <v>801.4</v>
      </c>
    </row>
    <row r="329" spans="1:7" ht="17.25" customHeight="1">
      <c r="A329" s="16" t="s">
        <v>270</v>
      </c>
      <c r="B329" s="51" t="s">
        <v>106</v>
      </c>
      <c r="C329" s="15" t="s">
        <v>1651</v>
      </c>
      <c r="D329" s="15" t="s">
        <v>1652</v>
      </c>
      <c r="E329" s="15" t="s">
        <v>791</v>
      </c>
      <c r="F329" s="15" t="s">
        <v>271</v>
      </c>
      <c r="G329" s="18">
        <f>G330</f>
        <v>665.8</v>
      </c>
    </row>
    <row r="330" spans="1:7" ht="27" customHeight="1">
      <c r="A330" s="16" t="s">
        <v>269</v>
      </c>
      <c r="B330" s="51" t="s">
        <v>106</v>
      </c>
      <c r="C330" s="15" t="s">
        <v>1651</v>
      </c>
      <c r="D330" s="15" t="s">
        <v>1652</v>
      </c>
      <c r="E330" s="15" t="s">
        <v>791</v>
      </c>
      <c r="F330" s="15" t="s">
        <v>570</v>
      </c>
      <c r="G330" s="18">
        <v>665.8</v>
      </c>
    </row>
    <row r="331" spans="1:7" ht="18.75" customHeight="1">
      <c r="A331" s="16" t="s">
        <v>396</v>
      </c>
      <c r="B331" s="51" t="s">
        <v>106</v>
      </c>
      <c r="C331" s="15" t="s">
        <v>1651</v>
      </c>
      <c r="D331" s="15" t="s">
        <v>1652</v>
      </c>
      <c r="E331" s="15" t="s">
        <v>791</v>
      </c>
      <c r="F331" s="15" t="s">
        <v>1433</v>
      </c>
      <c r="G331" s="18">
        <f>G332</f>
        <v>135.6</v>
      </c>
    </row>
    <row r="332" spans="1:7" ht="24.75" customHeight="1">
      <c r="A332" s="16" t="s">
        <v>395</v>
      </c>
      <c r="B332" s="51" t="s">
        <v>106</v>
      </c>
      <c r="C332" s="15" t="s">
        <v>1651</v>
      </c>
      <c r="D332" s="15" t="s">
        <v>1652</v>
      </c>
      <c r="E332" s="15" t="s">
        <v>791</v>
      </c>
      <c r="F332" s="15" t="s">
        <v>1434</v>
      </c>
      <c r="G332" s="18">
        <v>135.6</v>
      </c>
    </row>
    <row r="333" spans="1:7" ht="32.25" customHeight="1" hidden="1">
      <c r="A333" s="16" t="s">
        <v>536</v>
      </c>
      <c r="B333" s="51" t="s">
        <v>106</v>
      </c>
      <c r="C333" s="15" t="s">
        <v>1651</v>
      </c>
      <c r="D333" s="15" t="s">
        <v>1652</v>
      </c>
      <c r="E333" s="15" t="s">
        <v>1136</v>
      </c>
      <c r="F333" s="15" t="s">
        <v>575</v>
      </c>
      <c r="G333" s="18">
        <f>G334+G336</f>
        <v>0</v>
      </c>
    </row>
    <row r="334" spans="1:7" ht="18" customHeight="1" hidden="1">
      <c r="A334" s="16" t="s">
        <v>270</v>
      </c>
      <c r="B334" s="51" t="s">
        <v>106</v>
      </c>
      <c r="C334" s="15" t="s">
        <v>1651</v>
      </c>
      <c r="D334" s="15" t="s">
        <v>1652</v>
      </c>
      <c r="E334" s="15" t="s">
        <v>1136</v>
      </c>
      <c r="F334" s="15" t="s">
        <v>271</v>
      </c>
      <c r="G334" s="18">
        <f>G335</f>
        <v>0</v>
      </c>
    </row>
    <row r="335" spans="1:7" ht="24.75" customHeight="1" hidden="1">
      <c r="A335" s="16" t="s">
        <v>269</v>
      </c>
      <c r="B335" s="51" t="s">
        <v>106</v>
      </c>
      <c r="C335" s="15" t="s">
        <v>1651</v>
      </c>
      <c r="D335" s="15" t="s">
        <v>1652</v>
      </c>
      <c r="E335" s="15" t="s">
        <v>1136</v>
      </c>
      <c r="F335" s="15" t="s">
        <v>570</v>
      </c>
      <c r="G335" s="18">
        <v>0</v>
      </c>
    </row>
    <row r="336" spans="1:7" ht="17.25" customHeight="1" hidden="1">
      <c r="A336" s="16" t="s">
        <v>396</v>
      </c>
      <c r="B336" s="51" t="s">
        <v>106</v>
      </c>
      <c r="C336" s="15" t="s">
        <v>1651</v>
      </c>
      <c r="D336" s="15" t="s">
        <v>1652</v>
      </c>
      <c r="E336" s="15" t="s">
        <v>1136</v>
      </c>
      <c r="F336" s="15" t="s">
        <v>1433</v>
      </c>
      <c r="G336" s="18">
        <f>G337</f>
        <v>0</v>
      </c>
    </row>
    <row r="337" spans="1:7" ht="27.75" customHeight="1" hidden="1">
      <c r="A337" s="16" t="s">
        <v>395</v>
      </c>
      <c r="B337" s="51" t="s">
        <v>106</v>
      </c>
      <c r="C337" s="15" t="s">
        <v>1651</v>
      </c>
      <c r="D337" s="15" t="s">
        <v>1652</v>
      </c>
      <c r="E337" s="15" t="s">
        <v>1136</v>
      </c>
      <c r="F337" s="15" t="s">
        <v>1434</v>
      </c>
      <c r="G337" s="18">
        <v>0</v>
      </c>
    </row>
    <row r="338" spans="1:7" ht="15">
      <c r="A338" s="31" t="s">
        <v>1664</v>
      </c>
      <c r="B338" s="51" t="s">
        <v>106</v>
      </c>
      <c r="C338" s="15" t="s">
        <v>1651</v>
      </c>
      <c r="D338" s="15" t="s">
        <v>1652</v>
      </c>
      <c r="E338" s="15" t="s">
        <v>1663</v>
      </c>
      <c r="F338" s="15"/>
      <c r="G338" s="18">
        <f>G339+G343+G354</f>
        <v>76859.90000000001</v>
      </c>
    </row>
    <row r="339" spans="1:7" ht="29.25" customHeight="1">
      <c r="A339" s="193" t="s">
        <v>1123</v>
      </c>
      <c r="B339" s="51" t="s">
        <v>106</v>
      </c>
      <c r="C339" s="52" t="s">
        <v>1651</v>
      </c>
      <c r="D339" s="52" t="s">
        <v>1652</v>
      </c>
      <c r="E339" s="52" t="s">
        <v>854</v>
      </c>
      <c r="F339" s="52"/>
      <c r="G339" s="18">
        <f>G340</f>
        <v>7158.6</v>
      </c>
    </row>
    <row r="340" spans="1:7" ht="19.5" customHeight="1">
      <c r="A340" s="30" t="s">
        <v>1554</v>
      </c>
      <c r="B340" s="51" t="s">
        <v>106</v>
      </c>
      <c r="C340" s="52" t="s">
        <v>1651</v>
      </c>
      <c r="D340" s="52" t="s">
        <v>1652</v>
      </c>
      <c r="E340" s="52" t="s">
        <v>854</v>
      </c>
      <c r="F340" s="52" t="s">
        <v>575</v>
      </c>
      <c r="G340" s="18">
        <f>G341</f>
        <v>7158.6</v>
      </c>
    </row>
    <row r="341" spans="1:7" ht="19.5" customHeight="1">
      <c r="A341" s="35" t="s">
        <v>528</v>
      </c>
      <c r="B341" s="51" t="s">
        <v>106</v>
      </c>
      <c r="C341" s="52" t="s">
        <v>1651</v>
      </c>
      <c r="D341" s="52" t="s">
        <v>1652</v>
      </c>
      <c r="E341" s="52" t="s">
        <v>854</v>
      </c>
      <c r="F341" s="52" t="s">
        <v>1644</v>
      </c>
      <c r="G341" s="18">
        <f>G342</f>
        <v>7158.6</v>
      </c>
    </row>
    <row r="342" spans="1:7" ht="17.25" customHeight="1">
      <c r="A342" s="35" t="s">
        <v>1535</v>
      </c>
      <c r="B342" s="51" t="s">
        <v>106</v>
      </c>
      <c r="C342" s="52" t="s">
        <v>1651</v>
      </c>
      <c r="D342" s="52" t="s">
        <v>1652</v>
      </c>
      <c r="E342" s="52" t="s">
        <v>854</v>
      </c>
      <c r="F342" s="52" t="s">
        <v>1536</v>
      </c>
      <c r="G342" s="18">
        <f>3000+400+906.6+2410+442</f>
        <v>7158.6</v>
      </c>
    </row>
    <row r="343" spans="1:7" ht="36" customHeight="1">
      <c r="A343" s="16" t="s">
        <v>974</v>
      </c>
      <c r="B343" s="65" t="s">
        <v>106</v>
      </c>
      <c r="C343" s="52" t="s">
        <v>1651</v>
      </c>
      <c r="D343" s="52" t="s">
        <v>1652</v>
      </c>
      <c r="E343" s="52" t="s">
        <v>701</v>
      </c>
      <c r="F343" s="15" t="s">
        <v>575</v>
      </c>
      <c r="G343" s="18">
        <f>G344+G349</f>
        <v>69480.3</v>
      </c>
    </row>
    <row r="344" spans="1:17" s="85" customFormat="1" ht="18.75" customHeight="1">
      <c r="A344" s="16" t="s">
        <v>270</v>
      </c>
      <c r="B344" s="65" t="s">
        <v>106</v>
      </c>
      <c r="C344" s="52" t="s">
        <v>1651</v>
      </c>
      <c r="D344" s="52" t="s">
        <v>1652</v>
      </c>
      <c r="E344" s="52" t="s">
        <v>701</v>
      </c>
      <c r="F344" s="52" t="s">
        <v>271</v>
      </c>
      <c r="G344" s="53">
        <f>G345+G346</f>
        <v>58701.8</v>
      </c>
      <c r="J344" s="162"/>
      <c r="K344" s="162"/>
      <c r="L344" s="162"/>
      <c r="M344" s="162"/>
      <c r="N344" s="162"/>
      <c r="O344" s="162"/>
      <c r="P344" s="162"/>
      <c r="Q344" s="162"/>
    </row>
    <row r="345" spans="1:17" s="85" customFormat="1" ht="24" customHeight="1">
      <c r="A345" s="16" t="s">
        <v>269</v>
      </c>
      <c r="B345" s="65" t="s">
        <v>106</v>
      </c>
      <c r="C345" s="52" t="s">
        <v>1651</v>
      </c>
      <c r="D345" s="52" t="s">
        <v>1652</v>
      </c>
      <c r="E345" s="52" t="s">
        <v>701</v>
      </c>
      <c r="F345" s="52" t="s">
        <v>570</v>
      </c>
      <c r="G345" s="53">
        <f>2913+49143+665.8</f>
        <v>52721.8</v>
      </c>
      <c r="J345" s="162"/>
      <c r="K345" s="162"/>
      <c r="L345" s="162"/>
      <c r="M345" s="162"/>
      <c r="N345" s="162"/>
      <c r="O345" s="162"/>
      <c r="P345" s="162"/>
      <c r="Q345" s="162"/>
    </row>
    <row r="346" spans="1:7" ht="15.75" customHeight="1">
      <c r="A346" s="16" t="s">
        <v>1997</v>
      </c>
      <c r="B346" s="65" t="s">
        <v>106</v>
      </c>
      <c r="C346" s="52" t="s">
        <v>1651</v>
      </c>
      <c r="D346" s="52" t="s">
        <v>1652</v>
      </c>
      <c r="E346" s="52" t="s">
        <v>701</v>
      </c>
      <c r="F346" s="52" t="s">
        <v>180</v>
      </c>
      <c r="G346" s="18">
        <f>G347+G348</f>
        <v>5980</v>
      </c>
    </row>
    <row r="347" spans="1:7" ht="33.75" customHeight="1">
      <c r="A347" s="16" t="s">
        <v>1935</v>
      </c>
      <c r="B347" s="65" t="s">
        <v>106</v>
      </c>
      <c r="C347" s="52" t="s">
        <v>1651</v>
      </c>
      <c r="D347" s="52" t="s">
        <v>1652</v>
      </c>
      <c r="E347" s="52" t="s">
        <v>701</v>
      </c>
      <c r="F347" s="52" t="s">
        <v>180</v>
      </c>
      <c r="G347" s="18">
        <f>5280+50</f>
        <v>5330</v>
      </c>
    </row>
    <row r="348" spans="1:7" ht="17.25" customHeight="1">
      <c r="A348" s="16" t="s">
        <v>369</v>
      </c>
      <c r="B348" s="65" t="s">
        <v>106</v>
      </c>
      <c r="C348" s="52" t="s">
        <v>1651</v>
      </c>
      <c r="D348" s="52" t="s">
        <v>1652</v>
      </c>
      <c r="E348" s="52" t="s">
        <v>701</v>
      </c>
      <c r="F348" s="52" t="s">
        <v>180</v>
      </c>
      <c r="G348" s="18">
        <v>650</v>
      </c>
    </row>
    <row r="349" spans="1:7" ht="17.25" customHeight="1">
      <c r="A349" s="16" t="s">
        <v>396</v>
      </c>
      <c r="B349" s="65" t="s">
        <v>106</v>
      </c>
      <c r="C349" s="52" t="s">
        <v>1651</v>
      </c>
      <c r="D349" s="52" t="s">
        <v>1652</v>
      </c>
      <c r="E349" s="52" t="s">
        <v>701</v>
      </c>
      <c r="F349" s="52" t="s">
        <v>1433</v>
      </c>
      <c r="G349" s="18">
        <f>G350+G351</f>
        <v>10778.5</v>
      </c>
    </row>
    <row r="350" spans="1:7" ht="23.25" customHeight="1">
      <c r="A350" s="16" t="s">
        <v>395</v>
      </c>
      <c r="B350" s="65" t="s">
        <v>106</v>
      </c>
      <c r="C350" s="52" t="s">
        <v>1651</v>
      </c>
      <c r="D350" s="52" t="s">
        <v>1652</v>
      </c>
      <c r="E350" s="52" t="s">
        <v>701</v>
      </c>
      <c r="F350" s="52" t="s">
        <v>1434</v>
      </c>
      <c r="G350" s="18">
        <v>10278.5</v>
      </c>
    </row>
    <row r="351" spans="1:7" ht="20.25" customHeight="1">
      <c r="A351" s="16" t="s">
        <v>1027</v>
      </c>
      <c r="B351" s="65" t="s">
        <v>106</v>
      </c>
      <c r="C351" s="52" t="s">
        <v>1651</v>
      </c>
      <c r="D351" s="52" t="s">
        <v>1652</v>
      </c>
      <c r="E351" s="52" t="s">
        <v>701</v>
      </c>
      <c r="F351" s="52" t="s">
        <v>1196</v>
      </c>
      <c r="G351" s="18">
        <f>G352+G353</f>
        <v>500</v>
      </c>
    </row>
    <row r="352" spans="1:7" ht="15" customHeight="1">
      <c r="A352" s="16" t="s">
        <v>864</v>
      </c>
      <c r="B352" s="65" t="s">
        <v>106</v>
      </c>
      <c r="C352" s="52" t="s">
        <v>1651</v>
      </c>
      <c r="D352" s="52" t="s">
        <v>1652</v>
      </c>
      <c r="E352" s="52" t="s">
        <v>701</v>
      </c>
      <c r="F352" s="52" t="s">
        <v>1196</v>
      </c>
      <c r="G352" s="18">
        <v>500</v>
      </c>
    </row>
    <row r="353" spans="1:7" ht="23.25" customHeight="1" hidden="1">
      <c r="A353" s="16" t="s">
        <v>1172</v>
      </c>
      <c r="B353" s="65" t="s">
        <v>106</v>
      </c>
      <c r="C353" s="52" t="s">
        <v>1651</v>
      </c>
      <c r="D353" s="52" t="s">
        <v>1652</v>
      </c>
      <c r="E353" s="52" t="s">
        <v>701</v>
      </c>
      <c r="F353" s="52" t="s">
        <v>1196</v>
      </c>
      <c r="G353" s="18">
        <f>585-585</f>
        <v>0</v>
      </c>
    </row>
    <row r="354" spans="1:7" ht="36">
      <c r="A354" s="16" t="s">
        <v>1446</v>
      </c>
      <c r="B354" s="65" t="s">
        <v>106</v>
      </c>
      <c r="C354" s="52" t="s">
        <v>1651</v>
      </c>
      <c r="D354" s="52" t="s">
        <v>1652</v>
      </c>
      <c r="E354" s="52" t="s">
        <v>853</v>
      </c>
      <c r="F354" s="52" t="s">
        <v>575</v>
      </c>
      <c r="G354" s="18">
        <f>G355</f>
        <v>221</v>
      </c>
    </row>
    <row r="355" spans="1:7" ht="24">
      <c r="A355" s="35" t="s">
        <v>172</v>
      </c>
      <c r="B355" s="65" t="s">
        <v>106</v>
      </c>
      <c r="C355" s="52" t="s">
        <v>1651</v>
      </c>
      <c r="D355" s="52" t="s">
        <v>1652</v>
      </c>
      <c r="E355" s="52" t="s">
        <v>853</v>
      </c>
      <c r="F355" s="52" t="s">
        <v>1644</v>
      </c>
      <c r="G355" s="18">
        <f>G356</f>
        <v>221</v>
      </c>
    </row>
    <row r="356" spans="1:7" ht="24">
      <c r="A356" s="35" t="s">
        <v>1535</v>
      </c>
      <c r="B356" s="65" t="s">
        <v>106</v>
      </c>
      <c r="C356" s="52" t="s">
        <v>1651</v>
      </c>
      <c r="D356" s="52" t="s">
        <v>1652</v>
      </c>
      <c r="E356" s="52" t="s">
        <v>853</v>
      </c>
      <c r="F356" s="52" t="s">
        <v>1536</v>
      </c>
      <c r="G356" s="18">
        <v>221</v>
      </c>
    </row>
    <row r="357" spans="1:7" ht="24.75" customHeight="1" hidden="1">
      <c r="A357" s="16" t="s">
        <v>270</v>
      </c>
      <c r="B357" s="65" t="s">
        <v>106</v>
      </c>
      <c r="C357" s="52" t="s">
        <v>1651</v>
      </c>
      <c r="D357" s="52" t="s">
        <v>1652</v>
      </c>
      <c r="E357" s="52" t="s">
        <v>853</v>
      </c>
      <c r="F357" s="52" t="s">
        <v>271</v>
      </c>
      <c r="G357" s="18">
        <f>G358</f>
        <v>0</v>
      </c>
    </row>
    <row r="358" spans="1:7" ht="21" customHeight="1" hidden="1">
      <c r="A358" s="16" t="s">
        <v>368</v>
      </c>
      <c r="B358" s="65" t="s">
        <v>106</v>
      </c>
      <c r="C358" s="52" t="s">
        <v>1651</v>
      </c>
      <c r="D358" s="52" t="s">
        <v>1652</v>
      </c>
      <c r="E358" s="52" t="s">
        <v>853</v>
      </c>
      <c r="F358" s="52" t="s">
        <v>180</v>
      </c>
      <c r="G358" s="18">
        <f>G359</f>
        <v>0</v>
      </c>
    </row>
    <row r="359" spans="1:7" ht="21" customHeight="1" hidden="1">
      <c r="A359" s="16" t="s">
        <v>856</v>
      </c>
      <c r="B359" s="65" t="s">
        <v>106</v>
      </c>
      <c r="C359" s="52" t="s">
        <v>1651</v>
      </c>
      <c r="D359" s="52" t="s">
        <v>1652</v>
      </c>
      <c r="E359" s="52" t="s">
        <v>853</v>
      </c>
      <c r="F359" s="52" t="s">
        <v>180</v>
      </c>
      <c r="G359" s="18">
        <f>100-100</f>
        <v>0</v>
      </c>
    </row>
    <row r="360" spans="1:7" ht="15">
      <c r="A360" s="54" t="s">
        <v>1641</v>
      </c>
      <c r="B360" s="51" t="s">
        <v>106</v>
      </c>
      <c r="C360" s="15" t="s">
        <v>1650</v>
      </c>
      <c r="D360" s="15"/>
      <c r="E360" s="15"/>
      <c r="F360" s="15"/>
      <c r="G360" s="18">
        <f>G361+G377</f>
        <v>39093.6</v>
      </c>
    </row>
    <row r="361" spans="1:7" ht="15">
      <c r="A361" s="29" t="s">
        <v>267</v>
      </c>
      <c r="B361" s="51" t="s">
        <v>106</v>
      </c>
      <c r="C361" s="15" t="s">
        <v>1650</v>
      </c>
      <c r="D361" s="15" t="s">
        <v>1653</v>
      </c>
      <c r="E361" s="15"/>
      <c r="F361" s="15"/>
      <c r="G361" s="18">
        <f>G362+G365+G370+G373</f>
        <v>4194</v>
      </c>
    </row>
    <row r="362" spans="1:7" ht="108">
      <c r="A362" s="35" t="s">
        <v>350</v>
      </c>
      <c r="B362" s="51" t="s">
        <v>106</v>
      </c>
      <c r="C362" s="15" t="s">
        <v>1380</v>
      </c>
      <c r="D362" s="15" t="s">
        <v>1653</v>
      </c>
      <c r="E362" s="15" t="s">
        <v>794</v>
      </c>
      <c r="F362" s="15" t="s">
        <v>575</v>
      </c>
      <c r="G362" s="18">
        <f>G363</f>
        <v>1194</v>
      </c>
    </row>
    <row r="363" spans="1:7" ht="24">
      <c r="A363" s="35" t="s">
        <v>1129</v>
      </c>
      <c r="B363" s="51" t="s">
        <v>106</v>
      </c>
      <c r="C363" s="15" t="s">
        <v>1380</v>
      </c>
      <c r="D363" s="15" t="s">
        <v>1653</v>
      </c>
      <c r="E363" s="15" t="s">
        <v>794</v>
      </c>
      <c r="F363" s="15" t="s">
        <v>30</v>
      </c>
      <c r="G363" s="18">
        <f>G364</f>
        <v>1194</v>
      </c>
    </row>
    <row r="364" spans="1:7" ht="24">
      <c r="A364" s="35" t="s">
        <v>843</v>
      </c>
      <c r="B364" s="51" t="s">
        <v>106</v>
      </c>
      <c r="C364" s="15" t="s">
        <v>1380</v>
      </c>
      <c r="D364" s="15" t="s">
        <v>1653</v>
      </c>
      <c r="E364" s="15" t="s">
        <v>794</v>
      </c>
      <c r="F364" s="15" t="s">
        <v>844</v>
      </c>
      <c r="G364" s="18">
        <v>1194</v>
      </c>
    </row>
    <row r="365" spans="1:7" ht="15.75" hidden="1">
      <c r="A365" s="30" t="s">
        <v>538</v>
      </c>
      <c r="B365" s="51" t="s">
        <v>106</v>
      </c>
      <c r="C365" s="15" t="s">
        <v>1650</v>
      </c>
      <c r="D365" s="15" t="s">
        <v>1653</v>
      </c>
      <c r="E365" s="15" t="s">
        <v>1144</v>
      </c>
      <c r="F365" s="15"/>
      <c r="G365" s="18">
        <f>G368+G366</f>
        <v>0</v>
      </c>
    </row>
    <row r="366" spans="1:7" ht="24.75" hidden="1">
      <c r="A366" s="35" t="s">
        <v>1165</v>
      </c>
      <c r="B366" s="51" t="s">
        <v>106</v>
      </c>
      <c r="C366" s="15" t="s">
        <v>1650</v>
      </c>
      <c r="D366" s="15" t="s">
        <v>1653</v>
      </c>
      <c r="E366" s="15" t="s">
        <v>1956</v>
      </c>
      <c r="F366" s="15" t="s">
        <v>575</v>
      </c>
      <c r="G366" s="18">
        <f>G367</f>
        <v>0</v>
      </c>
    </row>
    <row r="367" spans="1:7" ht="36" hidden="1">
      <c r="A367" s="35" t="s">
        <v>797</v>
      </c>
      <c r="B367" s="51" t="s">
        <v>106</v>
      </c>
      <c r="C367" s="15" t="s">
        <v>1650</v>
      </c>
      <c r="D367" s="15" t="s">
        <v>1653</v>
      </c>
      <c r="E367" s="15" t="s">
        <v>1956</v>
      </c>
      <c r="F367" s="15" t="s">
        <v>30</v>
      </c>
      <c r="G367" s="18">
        <v>0</v>
      </c>
    </row>
    <row r="368" spans="1:7" ht="40.5" customHeight="1" hidden="1">
      <c r="A368" s="35" t="s">
        <v>758</v>
      </c>
      <c r="B368" s="51" t="s">
        <v>106</v>
      </c>
      <c r="C368" s="15" t="s">
        <v>1650</v>
      </c>
      <c r="D368" s="15" t="s">
        <v>1653</v>
      </c>
      <c r="E368" s="15" t="s">
        <v>562</v>
      </c>
      <c r="F368" s="15" t="s">
        <v>575</v>
      </c>
      <c r="G368" s="18">
        <f>G369</f>
        <v>0</v>
      </c>
    </row>
    <row r="369" spans="1:7" ht="22.5" customHeight="1" hidden="1">
      <c r="A369" s="35" t="s">
        <v>747</v>
      </c>
      <c r="B369" s="51" t="s">
        <v>106</v>
      </c>
      <c r="C369" s="15" t="s">
        <v>1650</v>
      </c>
      <c r="D369" s="15" t="s">
        <v>1653</v>
      </c>
      <c r="E369" s="15" t="s">
        <v>562</v>
      </c>
      <c r="F369" s="15" t="s">
        <v>105</v>
      </c>
      <c r="G369" s="18">
        <f>2817+328-3145</f>
        <v>0</v>
      </c>
    </row>
    <row r="370" spans="1:7" ht="15.75" hidden="1">
      <c r="A370" s="16" t="s">
        <v>1148</v>
      </c>
      <c r="B370" s="51" t="s">
        <v>106</v>
      </c>
      <c r="C370" s="15" t="s">
        <v>1650</v>
      </c>
      <c r="D370" s="15" t="s">
        <v>1653</v>
      </c>
      <c r="E370" s="15" t="s">
        <v>1149</v>
      </c>
      <c r="F370" s="15"/>
      <c r="G370" s="18">
        <f>G371</f>
        <v>0</v>
      </c>
    </row>
    <row r="371" spans="1:7" ht="108" hidden="1">
      <c r="A371" s="16" t="s">
        <v>480</v>
      </c>
      <c r="B371" s="51" t="s">
        <v>106</v>
      </c>
      <c r="C371" s="15" t="s">
        <v>1650</v>
      </c>
      <c r="D371" s="15" t="s">
        <v>1653</v>
      </c>
      <c r="E371" s="15" t="s">
        <v>481</v>
      </c>
      <c r="F371" s="15" t="s">
        <v>575</v>
      </c>
      <c r="G371" s="18">
        <f>G372</f>
        <v>0</v>
      </c>
    </row>
    <row r="372" spans="1:7" ht="24.75" hidden="1">
      <c r="A372" s="16" t="s">
        <v>747</v>
      </c>
      <c r="B372" s="51" t="s">
        <v>106</v>
      </c>
      <c r="C372" s="15" t="s">
        <v>1650</v>
      </c>
      <c r="D372" s="15" t="s">
        <v>1653</v>
      </c>
      <c r="E372" s="15" t="s">
        <v>481</v>
      </c>
      <c r="F372" s="15" t="s">
        <v>105</v>
      </c>
      <c r="G372" s="18">
        <v>0</v>
      </c>
    </row>
    <row r="373" spans="1:7" ht="15">
      <c r="A373" s="31" t="s">
        <v>1664</v>
      </c>
      <c r="B373" s="51" t="s">
        <v>106</v>
      </c>
      <c r="C373" s="15" t="s">
        <v>1650</v>
      </c>
      <c r="D373" s="15" t="s">
        <v>1653</v>
      </c>
      <c r="E373" s="15" t="s">
        <v>1663</v>
      </c>
      <c r="F373" s="15"/>
      <c r="G373" s="18">
        <f>G374</f>
        <v>3000</v>
      </c>
    </row>
    <row r="374" spans="1:7" ht="24">
      <c r="A374" s="16" t="s">
        <v>176</v>
      </c>
      <c r="B374" s="51" t="s">
        <v>106</v>
      </c>
      <c r="C374" s="15" t="s">
        <v>1650</v>
      </c>
      <c r="D374" s="15" t="s">
        <v>1653</v>
      </c>
      <c r="E374" s="15" t="s">
        <v>854</v>
      </c>
      <c r="F374" s="15" t="s">
        <v>575</v>
      </c>
      <c r="G374" s="18">
        <f>G375</f>
        <v>3000</v>
      </c>
    </row>
    <row r="375" spans="1:7" ht="24">
      <c r="A375" s="35" t="s">
        <v>997</v>
      </c>
      <c r="B375" s="51" t="s">
        <v>106</v>
      </c>
      <c r="C375" s="15" t="s">
        <v>1650</v>
      </c>
      <c r="D375" s="15" t="s">
        <v>1653</v>
      </c>
      <c r="E375" s="15" t="s">
        <v>854</v>
      </c>
      <c r="F375" s="15" t="s">
        <v>30</v>
      </c>
      <c r="G375" s="18">
        <f>G376</f>
        <v>3000</v>
      </c>
    </row>
    <row r="376" spans="1:7" ht="36">
      <c r="A376" s="35" t="s">
        <v>729</v>
      </c>
      <c r="B376" s="51" t="s">
        <v>106</v>
      </c>
      <c r="C376" s="15" t="s">
        <v>1650</v>
      </c>
      <c r="D376" s="15" t="s">
        <v>1653</v>
      </c>
      <c r="E376" s="15" t="s">
        <v>854</v>
      </c>
      <c r="F376" s="15" t="s">
        <v>844</v>
      </c>
      <c r="G376" s="18">
        <v>3000</v>
      </c>
    </row>
    <row r="377" spans="1:7" ht="15">
      <c r="A377" s="75" t="s">
        <v>964</v>
      </c>
      <c r="B377" s="51" t="s">
        <v>106</v>
      </c>
      <c r="C377" s="15" t="s">
        <v>1650</v>
      </c>
      <c r="D377" s="15" t="s">
        <v>439</v>
      </c>
      <c r="E377" s="15"/>
      <c r="F377" s="15"/>
      <c r="G377" s="18">
        <f>G378</f>
        <v>34899.6</v>
      </c>
    </row>
    <row r="378" spans="1:7" ht="15">
      <c r="A378" s="30" t="s">
        <v>538</v>
      </c>
      <c r="B378" s="51" t="s">
        <v>106</v>
      </c>
      <c r="C378" s="15" t="s">
        <v>1650</v>
      </c>
      <c r="D378" s="15" t="s">
        <v>439</v>
      </c>
      <c r="E378" s="15" t="s">
        <v>1144</v>
      </c>
      <c r="F378" s="15"/>
      <c r="G378" s="18">
        <f>G379+G382</f>
        <v>34899.6</v>
      </c>
    </row>
    <row r="379" spans="1:7" ht="60">
      <c r="A379" s="35" t="s">
        <v>792</v>
      </c>
      <c r="B379" s="51" t="s">
        <v>106</v>
      </c>
      <c r="C379" s="15" t="s">
        <v>1650</v>
      </c>
      <c r="D379" s="15" t="s">
        <v>439</v>
      </c>
      <c r="E379" s="15" t="s">
        <v>1101</v>
      </c>
      <c r="F379" s="15" t="s">
        <v>575</v>
      </c>
      <c r="G379" s="18">
        <f>G380</f>
        <v>34899.6</v>
      </c>
    </row>
    <row r="380" spans="1:7" ht="24" customHeight="1">
      <c r="A380" s="35" t="s">
        <v>1129</v>
      </c>
      <c r="B380" s="51" t="s">
        <v>106</v>
      </c>
      <c r="C380" s="15" t="s">
        <v>1650</v>
      </c>
      <c r="D380" s="15" t="s">
        <v>439</v>
      </c>
      <c r="E380" s="15" t="s">
        <v>1101</v>
      </c>
      <c r="F380" s="15" t="s">
        <v>30</v>
      </c>
      <c r="G380" s="18">
        <f>G381</f>
        <v>34899.6</v>
      </c>
    </row>
    <row r="381" spans="1:7" ht="24" customHeight="1">
      <c r="A381" s="35" t="s">
        <v>843</v>
      </c>
      <c r="B381" s="51" t="s">
        <v>106</v>
      </c>
      <c r="C381" s="15" t="s">
        <v>1650</v>
      </c>
      <c r="D381" s="15" t="s">
        <v>439</v>
      </c>
      <c r="E381" s="15" t="s">
        <v>1101</v>
      </c>
      <c r="F381" s="15" t="s">
        <v>844</v>
      </c>
      <c r="G381" s="18">
        <v>34899.6</v>
      </c>
    </row>
    <row r="382" spans="1:7" ht="63.75" customHeight="1" hidden="1">
      <c r="A382" s="35" t="s">
        <v>586</v>
      </c>
      <c r="B382" s="51" t="s">
        <v>106</v>
      </c>
      <c r="C382" s="15" t="s">
        <v>1650</v>
      </c>
      <c r="D382" s="15" t="s">
        <v>439</v>
      </c>
      <c r="E382" s="15" t="s">
        <v>587</v>
      </c>
      <c r="F382" s="15" t="s">
        <v>575</v>
      </c>
      <c r="G382" s="18">
        <f>G383</f>
        <v>0</v>
      </c>
    </row>
    <row r="383" spans="1:7" ht="27.75" customHeight="1" hidden="1">
      <c r="A383" s="35" t="s">
        <v>1129</v>
      </c>
      <c r="B383" s="51" t="s">
        <v>106</v>
      </c>
      <c r="C383" s="15" t="s">
        <v>1650</v>
      </c>
      <c r="D383" s="15" t="s">
        <v>439</v>
      </c>
      <c r="E383" s="15" t="s">
        <v>587</v>
      </c>
      <c r="F383" s="15" t="s">
        <v>30</v>
      </c>
      <c r="G383" s="18">
        <v>0</v>
      </c>
    </row>
    <row r="384" spans="1:7" ht="19.5" customHeight="1">
      <c r="A384" s="196" t="s">
        <v>869</v>
      </c>
      <c r="B384" s="49" t="s">
        <v>1966</v>
      </c>
      <c r="C384" s="55"/>
      <c r="D384" s="55"/>
      <c r="E384" s="55"/>
      <c r="F384" s="55"/>
      <c r="G384" s="56">
        <f>G385+G389+G393</f>
        <v>449479.3000000001</v>
      </c>
    </row>
    <row r="385" spans="1:7" ht="26.25" customHeight="1" hidden="1">
      <c r="A385" s="59" t="s">
        <v>1642</v>
      </c>
      <c r="B385" s="51" t="s">
        <v>1966</v>
      </c>
      <c r="C385" s="52" t="s">
        <v>1653</v>
      </c>
      <c r="D385" s="52"/>
      <c r="E385" s="52"/>
      <c r="F385" s="52"/>
      <c r="G385" s="53">
        <f>G386</f>
        <v>0</v>
      </c>
    </row>
    <row r="386" spans="1:7" ht="27.75" customHeight="1" hidden="1">
      <c r="A386" s="29" t="s">
        <v>96</v>
      </c>
      <c r="B386" s="51" t="s">
        <v>1966</v>
      </c>
      <c r="C386" s="15" t="s">
        <v>1653</v>
      </c>
      <c r="D386" s="15" t="s">
        <v>1143</v>
      </c>
      <c r="E386" s="15"/>
      <c r="F386" s="15"/>
      <c r="G386" s="53">
        <f>G387</f>
        <v>0</v>
      </c>
    </row>
    <row r="387" spans="1:7" ht="27.75" customHeight="1" hidden="1">
      <c r="A387" s="31" t="s">
        <v>545</v>
      </c>
      <c r="B387" s="51" t="s">
        <v>1966</v>
      </c>
      <c r="C387" s="15" t="s">
        <v>1653</v>
      </c>
      <c r="D387" s="15" t="s">
        <v>1143</v>
      </c>
      <c r="E387" s="15" t="s">
        <v>1531</v>
      </c>
      <c r="F387" s="15"/>
      <c r="G387" s="53">
        <f>G388</f>
        <v>0</v>
      </c>
    </row>
    <row r="388" spans="1:7" ht="14.25" customHeight="1" hidden="1">
      <c r="A388" s="16" t="s">
        <v>546</v>
      </c>
      <c r="B388" s="51" t="s">
        <v>1966</v>
      </c>
      <c r="C388" s="15" t="s">
        <v>1653</v>
      </c>
      <c r="D388" s="15" t="s">
        <v>1143</v>
      </c>
      <c r="E388" s="15" t="s">
        <v>1531</v>
      </c>
      <c r="F388" s="15" t="s">
        <v>139</v>
      </c>
      <c r="G388" s="53"/>
    </row>
    <row r="389" spans="1:7" ht="17.25" customHeight="1" hidden="1">
      <c r="A389" s="54" t="s">
        <v>440</v>
      </c>
      <c r="B389" s="51" t="s">
        <v>1966</v>
      </c>
      <c r="C389" s="15" t="s">
        <v>1651</v>
      </c>
      <c r="D389" s="57"/>
      <c r="E389" s="57"/>
      <c r="F389" s="57"/>
      <c r="G389" s="58">
        <f>G390</f>
        <v>0</v>
      </c>
    </row>
    <row r="390" spans="1:7" ht="15.75" customHeight="1" hidden="1">
      <c r="A390" s="29" t="s">
        <v>220</v>
      </c>
      <c r="B390" s="51" t="s">
        <v>1966</v>
      </c>
      <c r="C390" s="15" t="s">
        <v>1651</v>
      </c>
      <c r="D390" s="15" t="s">
        <v>1651</v>
      </c>
      <c r="E390" s="15"/>
      <c r="F390" s="15"/>
      <c r="G390" s="18">
        <f>G391</f>
        <v>0</v>
      </c>
    </row>
    <row r="391" spans="1:7" ht="20.25" customHeight="1" hidden="1">
      <c r="A391" s="30" t="s">
        <v>1193</v>
      </c>
      <c r="B391" s="51" t="s">
        <v>1966</v>
      </c>
      <c r="C391" s="15" t="s">
        <v>1651</v>
      </c>
      <c r="D391" s="15" t="s">
        <v>1651</v>
      </c>
      <c r="E391" s="15" t="s">
        <v>1559</v>
      </c>
      <c r="F391" s="15"/>
      <c r="G391" s="18">
        <f>G392</f>
        <v>0</v>
      </c>
    </row>
    <row r="392" spans="1:7" ht="23.25" customHeight="1" hidden="1">
      <c r="A392" s="16" t="s">
        <v>2004</v>
      </c>
      <c r="B392" s="51" t="s">
        <v>1966</v>
      </c>
      <c r="C392" s="15" t="s">
        <v>1651</v>
      </c>
      <c r="D392" s="15" t="s">
        <v>1651</v>
      </c>
      <c r="E392" s="15" t="s">
        <v>1559</v>
      </c>
      <c r="F392" s="15" t="s">
        <v>360</v>
      </c>
      <c r="G392" s="18"/>
    </row>
    <row r="393" spans="1:7" ht="15">
      <c r="A393" s="54" t="s">
        <v>367</v>
      </c>
      <c r="B393" s="51" t="s">
        <v>1966</v>
      </c>
      <c r="C393" s="25" t="s">
        <v>1652</v>
      </c>
      <c r="D393" s="21"/>
      <c r="E393" s="26"/>
      <c r="F393" s="26"/>
      <c r="G393" s="38">
        <f>G394+G445+G500+G512+G533+G552</f>
        <v>449479.3000000001</v>
      </c>
    </row>
    <row r="394" spans="1:7" ht="15">
      <c r="A394" s="29" t="s">
        <v>1141</v>
      </c>
      <c r="B394" s="51" t="s">
        <v>1966</v>
      </c>
      <c r="C394" s="15" t="s">
        <v>1652</v>
      </c>
      <c r="D394" s="15" t="s">
        <v>1624</v>
      </c>
      <c r="E394" s="39"/>
      <c r="F394" s="39"/>
      <c r="G394" s="18">
        <f>G395+G400+G423+G426+G431</f>
        <v>236475.2</v>
      </c>
    </row>
    <row r="395" spans="1:7" ht="24" customHeight="1" hidden="1">
      <c r="A395" s="197" t="s">
        <v>645</v>
      </c>
      <c r="B395" s="51" t="s">
        <v>1966</v>
      </c>
      <c r="C395" s="15" t="s">
        <v>1652</v>
      </c>
      <c r="D395" s="15" t="s">
        <v>1624</v>
      </c>
      <c r="E395" s="15" t="s">
        <v>752</v>
      </c>
      <c r="F395" s="39"/>
      <c r="G395" s="18">
        <f>G396</f>
        <v>0</v>
      </c>
    </row>
    <row r="396" spans="1:7" ht="27" customHeight="1" hidden="1">
      <c r="A396" s="195" t="s">
        <v>1892</v>
      </c>
      <c r="B396" s="51" t="s">
        <v>1966</v>
      </c>
      <c r="C396" s="15" t="s">
        <v>1652</v>
      </c>
      <c r="D396" s="15" t="s">
        <v>1624</v>
      </c>
      <c r="E396" s="15" t="s">
        <v>751</v>
      </c>
      <c r="F396" s="39" t="s">
        <v>575</v>
      </c>
      <c r="G396" s="18">
        <f>G397</f>
        <v>0</v>
      </c>
    </row>
    <row r="397" spans="1:7" ht="15.75" customHeight="1" hidden="1">
      <c r="A397" s="195" t="s">
        <v>426</v>
      </c>
      <c r="B397" s="51" t="s">
        <v>1966</v>
      </c>
      <c r="C397" s="15" t="s">
        <v>1652</v>
      </c>
      <c r="D397" s="15" t="s">
        <v>1624</v>
      </c>
      <c r="E397" s="15" t="s">
        <v>751</v>
      </c>
      <c r="F397" s="39" t="s">
        <v>167</v>
      </c>
      <c r="G397" s="18"/>
    </row>
    <row r="398" spans="1:7" ht="17.25" customHeight="1" hidden="1">
      <c r="A398" s="195" t="s">
        <v>1046</v>
      </c>
      <c r="B398" s="51" t="s">
        <v>1966</v>
      </c>
      <c r="C398" s="15" t="s">
        <v>1652</v>
      </c>
      <c r="D398" s="15" t="s">
        <v>1624</v>
      </c>
      <c r="E398" s="15" t="s">
        <v>751</v>
      </c>
      <c r="F398" s="39" t="s">
        <v>167</v>
      </c>
      <c r="G398" s="18"/>
    </row>
    <row r="399" spans="1:7" ht="26.25" customHeight="1" hidden="1">
      <c r="A399" s="195" t="s">
        <v>807</v>
      </c>
      <c r="B399" s="51" t="s">
        <v>1966</v>
      </c>
      <c r="C399" s="15" t="s">
        <v>1652</v>
      </c>
      <c r="D399" s="15" t="s">
        <v>1624</v>
      </c>
      <c r="E399" s="15" t="s">
        <v>751</v>
      </c>
      <c r="F399" s="39" t="s">
        <v>167</v>
      </c>
      <c r="G399" s="18"/>
    </row>
    <row r="400" spans="1:7" ht="15">
      <c r="A400" s="30" t="s">
        <v>651</v>
      </c>
      <c r="B400" s="51" t="s">
        <v>1966</v>
      </c>
      <c r="C400" s="15" t="s">
        <v>1652</v>
      </c>
      <c r="D400" s="15" t="s">
        <v>1624</v>
      </c>
      <c r="E400" s="15" t="s">
        <v>1886</v>
      </c>
      <c r="F400" s="39"/>
      <c r="G400" s="18">
        <f>G401+G404+G406+G409+G412</f>
        <v>54807.6</v>
      </c>
    </row>
    <row r="401" spans="1:7" ht="36">
      <c r="A401" s="35" t="s">
        <v>736</v>
      </c>
      <c r="B401" s="51" t="s">
        <v>1966</v>
      </c>
      <c r="C401" s="15" t="s">
        <v>1652</v>
      </c>
      <c r="D401" s="15" t="s">
        <v>1624</v>
      </c>
      <c r="E401" s="15" t="s">
        <v>683</v>
      </c>
      <c r="F401" s="39" t="s">
        <v>575</v>
      </c>
      <c r="G401" s="18">
        <f>G402</f>
        <v>35223.2</v>
      </c>
    </row>
    <row r="402" spans="1:7" ht="24">
      <c r="A402" s="16" t="s">
        <v>1195</v>
      </c>
      <c r="B402" s="51" t="s">
        <v>1966</v>
      </c>
      <c r="C402" s="15" t="s">
        <v>1652</v>
      </c>
      <c r="D402" s="15" t="s">
        <v>1624</v>
      </c>
      <c r="E402" s="15" t="s">
        <v>683</v>
      </c>
      <c r="F402" s="39" t="s">
        <v>271</v>
      </c>
      <c r="G402" s="18">
        <f>G403</f>
        <v>35223.2</v>
      </c>
    </row>
    <row r="403" spans="1:7" ht="24">
      <c r="A403" s="16" t="s">
        <v>269</v>
      </c>
      <c r="B403" s="51" t="s">
        <v>1966</v>
      </c>
      <c r="C403" s="15" t="s">
        <v>1652</v>
      </c>
      <c r="D403" s="15" t="s">
        <v>1624</v>
      </c>
      <c r="E403" s="15" t="s">
        <v>683</v>
      </c>
      <c r="F403" s="39" t="s">
        <v>570</v>
      </c>
      <c r="G403" s="18">
        <f>35262.2+2417-2417-39</f>
        <v>35223.2</v>
      </c>
    </row>
    <row r="404" spans="1:7" ht="60" hidden="1">
      <c r="A404" s="16" t="s">
        <v>967</v>
      </c>
      <c r="B404" s="51" t="s">
        <v>1966</v>
      </c>
      <c r="C404" s="15" t="s">
        <v>1652</v>
      </c>
      <c r="D404" s="15" t="s">
        <v>1624</v>
      </c>
      <c r="E404" s="15" t="s">
        <v>1064</v>
      </c>
      <c r="F404" s="39" t="s">
        <v>575</v>
      </c>
      <c r="G404" s="18">
        <f>G405</f>
        <v>0</v>
      </c>
    </row>
    <row r="405" spans="1:7" ht="24.75" hidden="1">
      <c r="A405" s="16" t="s">
        <v>1195</v>
      </c>
      <c r="B405" s="51" t="s">
        <v>1966</v>
      </c>
      <c r="C405" s="15" t="s">
        <v>1652</v>
      </c>
      <c r="D405" s="15" t="s">
        <v>1624</v>
      </c>
      <c r="E405" s="15" t="s">
        <v>1064</v>
      </c>
      <c r="F405" s="39" t="s">
        <v>271</v>
      </c>
      <c r="G405" s="18"/>
    </row>
    <row r="406" spans="1:7" ht="36">
      <c r="A406" s="35" t="s">
        <v>472</v>
      </c>
      <c r="B406" s="51" t="s">
        <v>1966</v>
      </c>
      <c r="C406" s="15" t="s">
        <v>1652</v>
      </c>
      <c r="D406" s="15" t="s">
        <v>1624</v>
      </c>
      <c r="E406" s="15" t="s">
        <v>684</v>
      </c>
      <c r="F406" s="39" t="s">
        <v>575</v>
      </c>
      <c r="G406" s="18">
        <f>G407</f>
        <v>2023</v>
      </c>
    </row>
    <row r="407" spans="1:7" ht="24">
      <c r="A407" s="16" t="s">
        <v>1195</v>
      </c>
      <c r="B407" s="51" t="s">
        <v>1966</v>
      </c>
      <c r="C407" s="15" t="s">
        <v>1652</v>
      </c>
      <c r="D407" s="15" t="s">
        <v>1624</v>
      </c>
      <c r="E407" s="15" t="s">
        <v>684</v>
      </c>
      <c r="F407" s="39" t="s">
        <v>271</v>
      </c>
      <c r="G407" s="18">
        <f>G408</f>
        <v>2023</v>
      </c>
    </row>
    <row r="408" spans="1:7" ht="24">
      <c r="A408" s="16" t="s">
        <v>269</v>
      </c>
      <c r="B408" s="51" t="s">
        <v>1966</v>
      </c>
      <c r="C408" s="15" t="s">
        <v>1652</v>
      </c>
      <c r="D408" s="15" t="s">
        <v>1624</v>
      </c>
      <c r="E408" s="15" t="s">
        <v>684</v>
      </c>
      <c r="F408" s="39" t="s">
        <v>570</v>
      </c>
      <c r="G408" s="18">
        <v>2023</v>
      </c>
    </row>
    <row r="409" spans="1:7" ht="24">
      <c r="A409" s="16" t="s">
        <v>968</v>
      </c>
      <c r="B409" s="51" t="s">
        <v>1966</v>
      </c>
      <c r="C409" s="15" t="s">
        <v>1652</v>
      </c>
      <c r="D409" s="15" t="s">
        <v>1624</v>
      </c>
      <c r="E409" s="15" t="s">
        <v>685</v>
      </c>
      <c r="F409" s="39" t="s">
        <v>575</v>
      </c>
      <c r="G409" s="18">
        <f>G410</f>
        <v>200</v>
      </c>
    </row>
    <row r="410" spans="1:7" ht="24">
      <c r="A410" s="16" t="s">
        <v>1195</v>
      </c>
      <c r="B410" s="51" t="s">
        <v>1966</v>
      </c>
      <c r="C410" s="15" t="s">
        <v>1652</v>
      </c>
      <c r="D410" s="15" t="s">
        <v>1624</v>
      </c>
      <c r="E410" s="15" t="s">
        <v>685</v>
      </c>
      <c r="F410" s="39" t="s">
        <v>271</v>
      </c>
      <c r="G410" s="18">
        <f>G411</f>
        <v>200</v>
      </c>
    </row>
    <row r="411" spans="1:7" ht="24">
      <c r="A411" s="16" t="s">
        <v>269</v>
      </c>
      <c r="B411" s="51" t="s">
        <v>1966</v>
      </c>
      <c r="C411" s="15" t="s">
        <v>1652</v>
      </c>
      <c r="D411" s="15" t="s">
        <v>1624</v>
      </c>
      <c r="E411" s="15" t="s">
        <v>685</v>
      </c>
      <c r="F411" s="39" t="s">
        <v>570</v>
      </c>
      <c r="G411" s="18">
        <v>200</v>
      </c>
    </row>
    <row r="412" spans="1:7" ht="24">
      <c r="A412" s="16" t="s">
        <v>2002</v>
      </c>
      <c r="B412" s="51" t="s">
        <v>1966</v>
      </c>
      <c r="C412" s="15" t="s">
        <v>1652</v>
      </c>
      <c r="D412" s="15" t="s">
        <v>1624</v>
      </c>
      <c r="E412" s="15" t="s">
        <v>1175</v>
      </c>
      <c r="F412" s="15" t="s">
        <v>575</v>
      </c>
      <c r="G412" s="18">
        <f>G413+G420</f>
        <v>17361.4</v>
      </c>
    </row>
    <row r="413" spans="1:7" ht="24">
      <c r="A413" s="16" t="s">
        <v>1195</v>
      </c>
      <c r="B413" s="51" t="s">
        <v>1966</v>
      </c>
      <c r="C413" s="15" t="s">
        <v>1652</v>
      </c>
      <c r="D413" s="15" t="s">
        <v>1624</v>
      </c>
      <c r="E413" s="15" t="s">
        <v>1175</v>
      </c>
      <c r="F413" s="15" t="s">
        <v>271</v>
      </c>
      <c r="G413" s="18">
        <f>G414+G415</f>
        <v>17361.4</v>
      </c>
    </row>
    <row r="414" spans="1:7" ht="24">
      <c r="A414" s="16" t="s">
        <v>269</v>
      </c>
      <c r="B414" s="51" t="s">
        <v>1966</v>
      </c>
      <c r="C414" s="15" t="s">
        <v>1652</v>
      </c>
      <c r="D414" s="15" t="s">
        <v>1624</v>
      </c>
      <c r="E414" s="15" t="s">
        <v>1175</v>
      </c>
      <c r="F414" s="15" t="s">
        <v>570</v>
      </c>
      <c r="G414" s="18">
        <f>8660+1250+3454.9+231.5+348+1000+2417</f>
        <v>17361.4</v>
      </c>
    </row>
    <row r="415" spans="1:7" ht="24.75" hidden="1">
      <c r="A415" s="16" t="s">
        <v>969</v>
      </c>
      <c r="B415" s="51" t="s">
        <v>1966</v>
      </c>
      <c r="C415" s="15" t="s">
        <v>1652</v>
      </c>
      <c r="D415" s="15" t="s">
        <v>1624</v>
      </c>
      <c r="E415" s="15" t="s">
        <v>1175</v>
      </c>
      <c r="F415" s="15" t="s">
        <v>180</v>
      </c>
      <c r="G415" s="18"/>
    </row>
    <row r="416" spans="1:7" ht="73.5" customHeight="1" hidden="1">
      <c r="A416" s="16" t="s">
        <v>2012</v>
      </c>
      <c r="B416" s="51" t="s">
        <v>1966</v>
      </c>
      <c r="C416" s="15" t="s">
        <v>1652</v>
      </c>
      <c r="D416" s="15" t="s">
        <v>1624</v>
      </c>
      <c r="E416" s="15" t="s">
        <v>1941</v>
      </c>
      <c r="F416" s="15" t="s">
        <v>180</v>
      </c>
      <c r="G416" s="18"/>
    </row>
    <row r="417" spans="1:7" ht="66" customHeight="1" hidden="1">
      <c r="A417" s="16" t="s">
        <v>83</v>
      </c>
      <c r="B417" s="51" t="s">
        <v>1966</v>
      </c>
      <c r="C417" s="15" t="s">
        <v>1652</v>
      </c>
      <c r="D417" s="15" t="s">
        <v>1624</v>
      </c>
      <c r="E417" s="15" t="s">
        <v>1941</v>
      </c>
      <c r="F417" s="15" t="s">
        <v>180</v>
      </c>
      <c r="G417" s="18">
        <v>0</v>
      </c>
    </row>
    <row r="418" spans="1:7" ht="24.75" hidden="1">
      <c r="A418" s="16" t="s">
        <v>349</v>
      </c>
      <c r="B418" s="51" t="s">
        <v>1966</v>
      </c>
      <c r="C418" s="15" t="s">
        <v>1652</v>
      </c>
      <c r="D418" s="15" t="s">
        <v>1624</v>
      </c>
      <c r="E418" s="15" t="s">
        <v>1436</v>
      </c>
      <c r="F418" s="15" t="s">
        <v>180</v>
      </c>
      <c r="G418" s="18">
        <v>0</v>
      </c>
    </row>
    <row r="419" spans="1:7" ht="24.75" hidden="1">
      <c r="A419" s="16" t="s">
        <v>793</v>
      </c>
      <c r="B419" s="51" t="s">
        <v>1966</v>
      </c>
      <c r="C419" s="15" t="s">
        <v>1652</v>
      </c>
      <c r="D419" s="15" t="s">
        <v>1624</v>
      </c>
      <c r="E419" s="15" t="s">
        <v>1612</v>
      </c>
      <c r="F419" s="15" t="s">
        <v>180</v>
      </c>
      <c r="G419" s="18"/>
    </row>
    <row r="420" spans="1:7" ht="36" hidden="1">
      <c r="A420" s="16" t="s">
        <v>1605</v>
      </c>
      <c r="B420" s="51" t="s">
        <v>1966</v>
      </c>
      <c r="C420" s="15" t="s">
        <v>1652</v>
      </c>
      <c r="D420" s="15" t="s">
        <v>1624</v>
      </c>
      <c r="E420" s="15" t="s">
        <v>686</v>
      </c>
      <c r="F420" s="15" t="s">
        <v>575</v>
      </c>
      <c r="G420" s="18">
        <f>G421</f>
        <v>0</v>
      </c>
    </row>
    <row r="421" spans="1:7" ht="15.75" customHeight="1" hidden="1">
      <c r="A421" s="16" t="s">
        <v>372</v>
      </c>
      <c r="B421" s="51" t="s">
        <v>1966</v>
      </c>
      <c r="C421" s="15" t="s">
        <v>1652</v>
      </c>
      <c r="D421" s="15" t="s">
        <v>1624</v>
      </c>
      <c r="E421" s="15" t="s">
        <v>686</v>
      </c>
      <c r="F421" s="15" t="s">
        <v>271</v>
      </c>
      <c r="G421" s="18">
        <f>G422</f>
        <v>0</v>
      </c>
    </row>
    <row r="422" spans="1:7" ht="24.75" hidden="1">
      <c r="A422" s="16" t="s">
        <v>269</v>
      </c>
      <c r="B422" s="51" t="s">
        <v>1966</v>
      </c>
      <c r="C422" s="15" t="s">
        <v>1652</v>
      </c>
      <c r="D422" s="15" t="s">
        <v>1624</v>
      </c>
      <c r="E422" s="15" t="s">
        <v>686</v>
      </c>
      <c r="F422" s="15" t="s">
        <v>570</v>
      </c>
      <c r="G422" s="18">
        <v>0</v>
      </c>
    </row>
    <row r="423" spans="1:7" ht="36">
      <c r="A423" s="181" t="s">
        <v>825</v>
      </c>
      <c r="B423" s="51" t="s">
        <v>1966</v>
      </c>
      <c r="C423" s="15" t="s">
        <v>1652</v>
      </c>
      <c r="D423" s="15" t="s">
        <v>1624</v>
      </c>
      <c r="E423" s="15" t="s">
        <v>2</v>
      </c>
      <c r="F423" s="15" t="s">
        <v>575</v>
      </c>
      <c r="G423" s="18">
        <f>G424</f>
        <v>761</v>
      </c>
    </row>
    <row r="424" spans="1:7" ht="24">
      <c r="A424" s="16" t="s">
        <v>1195</v>
      </c>
      <c r="B424" s="51" t="s">
        <v>1966</v>
      </c>
      <c r="C424" s="15" t="s">
        <v>1652</v>
      </c>
      <c r="D424" s="15" t="s">
        <v>1624</v>
      </c>
      <c r="E424" s="15" t="s">
        <v>2</v>
      </c>
      <c r="F424" s="15" t="s">
        <v>271</v>
      </c>
      <c r="G424" s="18">
        <f>G425</f>
        <v>761</v>
      </c>
    </row>
    <row r="425" spans="1:7" ht="24">
      <c r="A425" s="16" t="s">
        <v>269</v>
      </c>
      <c r="B425" s="51" t="s">
        <v>1966</v>
      </c>
      <c r="C425" s="15" t="s">
        <v>1652</v>
      </c>
      <c r="D425" s="15" t="s">
        <v>1624</v>
      </c>
      <c r="E425" s="15" t="s">
        <v>2</v>
      </c>
      <c r="F425" s="15" t="s">
        <v>570</v>
      </c>
      <c r="G425" s="18">
        <v>761</v>
      </c>
    </row>
    <row r="426" spans="1:7" ht="24">
      <c r="A426" s="16" t="s">
        <v>638</v>
      </c>
      <c r="B426" s="51" t="s">
        <v>1966</v>
      </c>
      <c r="C426" s="15" t="s">
        <v>1652</v>
      </c>
      <c r="D426" s="15" t="s">
        <v>1624</v>
      </c>
      <c r="E426" s="15" t="s">
        <v>290</v>
      </c>
      <c r="F426" s="15" t="s">
        <v>575</v>
      </c>
      <c r="G426" s="18">
        <f>G427+G429</f>
        <v>117500</v>
      </c>
    </row>
    <row r="427" spans="1:7" ht="36">
      <c r="A427" s="16" t="s">
        <v>293</v>
      </c>
      <c r="B427" s="51" t="s">
        <v>1966</v>
      </c>
      <c r="C427" s="15" t="s">
        <v>1652</v>
      </c>
      <c r="D427" s="15" t="s">
        <v>1624</v>
      </c>
      <c r="E427" s="15" t="s">
        <v>291</v>
      </c>
      <c r="F427" s="15" t="s">
        <v>575</v>
      </c>
      <c r="G427" s="18">
        <f>G428</f>
        <v>32500</v>
      </c>
    </row>
    <row r="428" spans="1:7" ht="24">
      <c r="A428" s="16" t="s">
        <v>10</v>
      </c>
      <c r="B428" s="51" t="s">
        <v>1966</v>
      </c>
      <c r="C428" s="15" t="s">
        <v>1652</v>
      </c>
      <c r="D428" s="15" t="s">
        <v>1624</v>
      </c>
      <c r="E428" s="15" t="s">
        <v>291</v>
      </c>
      <c r="F428" s="15" t="s">
        <v>180</v>
      </c>
      <c r="G428" s="18">
        <v>32500</v>
      </c>
    </row>
    <row r="429" spans="1:7" ht="36">
      <c r="A429" s="16" t="s">
        <v>639</v>
      </c>
      <c r="B429" s="51" t="s">
        <v>1966</v>
      </c>
      <c r="C429" s="15" t="s">
        <v>1652</v>
      </c>
      <c r="D429" s="15" t="s">
        <v>1624</v>
      </c>
      <c r="E429" s="15" t="s">
        <v>292</v>
      </c>
      <c r="F429" s="15" t="s">
        <v>575</v>
      </c>
      <c r="G429" s="18">
        <f>G430</f>
        <v>85000</v>
      </c>
    </row>
    <row r="430" spans="1:7" ht="24">
      <c r="A430" s="16" t="s">
        <v>10</v>
      </c>
      <c r="B430" s="51" t="s">
        <v>1966</v>
      </c>
      <c r="C430" s="15" t="s">
        <v>1652</v>
      </c>
      <c r="D430" s="15" t="s">
        <v>1624</v>
      </c>
      <c r="E430" s="15" t="s">
        <v>292</v>
      </c>
      <c r="F430" s="15" t="s">
        <v>180</v>
      </c>
      <c r="G430" s="18">
        <f>90000-5000</f>
        <v>85000</v>
      </c>
    </row>
    <row r="431" spans="1:7" ht="15">
      <c r="A431" s="31" t="s">
        <v>1664</v>
      </c>
      <c r="B431" s="51" t="s">
        <v>1966</v>
      </c>
      <c r="C431" s="15" t="s">
        <v>1652</v>
      </c>
      <c r="D431" s="15" t="s">
        <v>1624</v>
      </c>
      <c r="E431" s="15" t="s">
        <v>1663</v>
      </c>
      <c r="F431" s="15"/>
      <c r="G431" s="18">
        <f>G432</f>
        <v>63406.60000000001</v>
      </c>
    </row>
    <row r="432" spans="1:7" ht="24">
      <c r="A432" s="121" t="s">
        <v>1085</v>
      </c>
      <c r="B432" s="51" t="s">
        <v>1966</v>
      </c>
      <c r="C432" s="15" t="s">
        <v>1652</v>
      </c>
      <c r="D432" s="15" t="s">
        <v>1624</v>
      </c>
      <c r="E432" s="52" t="s">
        <v>1615</v>
      </c>
      <c r="F432" s="52" t="s">
        <v>575</v>
      </c>
      <c r="G432" s="18">
        <f>G433</f>
        <v>63406.60000000001</v>
      </c>
    </row>
    <row r="433" spans="1:7" ht="24">
      <c r="A433" s="16" t="s">
        <v>1195</v>
      </c>
      <c r="B433" s="51" t="s">
        <v>1966</v>
      </c>
      <c r="C433" s="15" t="s">
        <v>1652</v>
      </c>
      <c r="D433" s="15" t="s">
        <v>1624</v>
      </c>
      <c r="E433" s="15" t="s">
        <v>1615</v>
      </c>
      <c r="F433" s="15" t="s">
        <v>271</v>
      </c>
      <c r="G433" s="18">
        <f>G434</f>
        <v>63406.60000000001</v>
      </c>
    </row>
    <row r="434" spans="1:7" ht="24">
      <c r="A434" s="16" t="s">
        <v>969</v>
      </c>
      <c r="B434" s="51" t="s">
        <v>1966</v>
      </c>
      <c r="C434" s="15" t="s">
        <v>1652</v>
      </c>
      <c r="D434" s="15" t="s">
        <v>1624</v>
      </c>
      <c r="E434" s="15" t="s">
        <v>1615</v>
      </c>
      <c r="F434" s="15" t="s">
        <v>180</v>
      </c>
      <c r="G434" s="18">
        <f>G436+G437+G438+G439+G440+G441+G442+G443+G444</f>
        <v>63406.60000000001</v>
      </c>
    </row>
    <row r="435" spans="1:7" ht="60" hidden="1">
      <c r="A435" s="16" t="s">
        <v>1086</v>
      </c>
      <c r="B435" s="51" t="s">
        <v>1966</v>
      </c>
      <c r="C435" s="15" t="s">
        <v>1652</v>
      </c>
      <c r="D435" s="15" t="s">
        <v>1624</v>
      </c>
      <c r="E435" s="15" t="s">
        <v>1615</v>
      </c>
      <c r="F435" s="15" t="s">
        <v>180</v>
      </c>
      <c r="G435" s="18"/>
    </row>
    <row r="436" spans="1:7" ht="24">
      <c r="A436" s="16" t="s">
        <v>125</v>
      </c>
      <c r="B436" s="51" t="s">
        <v>1966</v>
      </c>
      <c r="C436" s="15" t="s">
        <v>1652</v>
      </c>
      <c r="D436" s="15" t="s">
        <v>1624</v>
      </c>
      <c r="E436" s="15" t="s">
        <v>1615</v>
      </c>
      <c r="F436" s="15" t="s">
        <v>180</v>
      </c>
      <c r="G436" s="18">
        <f>2818+3542-1296-1032.4+5950</f>
        <v>9981.6</v>
      </c>
    </row>
    <row r="437" spans="1:7" ht="24">
      <c r="A437" s="16" t="s">
        <v>1983</v>
      </c>
      <c r="B437" s="51" t="s">
        <v>1966</v>
      </c>
      <c r="C437" s="15" t="s">
        <v>1652</v>
      </c>
      <c r="D437" s="15" t="s">
        <v>1624</v>
      </c>
      <c r="E437" s="15" t="s">
        <v>1615</v>
      </c>
      <c r="F437" s="15" t="s">
        <v>180</v>
      </c>
      <c r="G437" s="18">
        <f>3000+1692.7-527.1-998.1</f>
        <v>3167.4999999999995</v>
      </c>
    </row>
    <row r="438" spans="1:7" ht="24">
      <c r="A438" s="16" t="s">
        <v>369</v>
      </c>
      <c r="B438" s="51" t="s">
        <v>1966</v>
      </c>
      <c r="C438" s="15" t="s">
        <v>1652</v>
      </c>
      <c r="D438" s="15" t="s">
        <v>1624</v>
      </c>
      <c r="E438" s="15" t="s">
        <v>1615</v>
      </c>
      <c r="F438" s="15" t="s">
        <v>180</v>
      </c>
      <c r="G438" s="18">
        <f>147.8+99.6-0.1+1773.6+5547.2+905.2+9595-0.1-4336.5</f>
        <v>13731.7</v>
      </c>
    </row>
    <row r="439" spans="1:7" ht="24">
      <c r="A439" s="16" t="s">
        <v>1931</v>
      </c>
      <c r="B439" s="51" t="s">
        <v>1966</v>
      </c>
      <c r="C439" s="15" t="s">
        <v>1652</v>
      </c>
      <c r="D439" s="15" t="s">
        <v>1624</v>
      </c>
      <c r="E439" s="15" t="s">
        <v>1615</v>
      </c>
      <c r="F439" s="15" t="s">
        <v>180</v>
      </c>
      <c r="G439" s="18">
        <v>29</v>
      </c>
    </row>
    <row r="440" spans="1:7" ht="24">
      <c r="A440" s="16" t="s">
        <v>895</v>
      </c>
      <c r="B440" s="51" t="s">
        <v>1966</v>
      </c>
      <c r="C440" s="15" t="s">
        <v>1652</v>
      </c>
      <c r="D440" s="15" t="s">
        <v>1624</v>
      </c>
      <c r="E440" s="15" t="s">
        <v>1615</v>
      </c>
      <c r="F440" s="15" t="s">
        <v>180</v>
      </c>
      <c r="G440" s="18">
        <v>411.7</v>
      </c>
    </row>
    <row r="441" spans="1:7" ht="24">
      <c r="A441" s="16" t="s">
        <v>896</v>
      </c>
      <c r="B441" s="51" t="s">
        <v>1966</v>
      </c>
      <c r="C441" s="15" t="s">
        <v>1652</v>
      </c>
      <c r="D441" s="15" t="s">
        <v>1624</v>
      </c>
      <c r="E441" s="15" t="s">
        <v>1615</v>
      </c>
      <c r="F441" s="15" t="s">
        <v>180</v>
      </c>
      <c r="G441" s="18">
        <v>132</v>
      </c>
    </row>
    <row r="442" spans="1:7" ht="60">
      <c r="A442" s="16" t="s">
        <v>1932</v>
      </c>
      <c r="B442" s="51" t="s">
        <v>1966</v>
      </c>
      <c r="C442" s="15" t="s">
        <v>1652</v>
      </c>
      <c r="D442" s="15" t="s">
        <v>1624</v>
      </c>
      <c r="E442" s="15" t="s">
        <v>1615</v>
      </c>
      <c r="F442" s="15" t="s">
        <v>180</v>
      </c>
      <c r="G442" s="18">
        <f>14880.7+5325.1+258.9+288.9+182.6+2256.3+3542+800+657.2-3542+1296+1032.4+0.1-209.4+400-101.6-6.5+550-1032.4+260.3-320.2-200+2373</f>
        <v>28691.4</v>
      </c>
    </row>
    <row r="443" spans="1:7" ht="24">
      <c r="A443" s="16" t="s">
        <v>1985</v>
      </c>
      <c r="B443" s="51" t="s">
        <v>1966</v>
      </c>
      <c r="C443" s="15" t="s">
        <v>1652</v>
      </c>
      <c r="D443" s="15" t="s">
        <v>1624</v>
      </c>
      <c r="E443" s="15" t="s">
        <v>1615</v>
      </c>
      <c r="F443" s="15" t="s">
        <v>180</v>
      </c>
      <c r="G443" s="18">
        <f>395+11.9</f>
        <v>406.9</v>
      </c>
    </row>
    <row r="444" spans="1:7" ht="24">
      <c r="A444" s="16" t="s">
        <v>1479</v>
      </c>
      <c r="B444" s="51" t="s">
        <v>1966</v>
      </c>
      <c r="C444" s="15" t="s">
        <v>1652</v>
      </c>
      <c r="D444" s="15" t="s">
        <v>1624</v>
      </c>
      <c r="E444" s="15" t="s">
        <v>1615</v>
      </c>
      <c r="F444" s="15" t="s">
        <v>180</v>
      </c>
      <c r="G444" s="18">
        <v>6854.8</v>
      </c>
    </row>
    <row r="445" spans="1:7" ht="15">
      <c r="A445" s="75" t="s">
        <v>1057</v>
      </c>
      <c r="B445" s="51" t="s">
        <v>1966</v>
      </c>
      <c r="C445" s="15" t="s">
        <v>1652</v>
      </c>
      <c r="D445" s="15" t="s">
        <v>923</v>
      </c>
      <c r="E445" s="15"/>
      <c r="F445" s="15"/>
      <c r="G445" s="18">
        <f>G446+G469+G477+G484</f>
        <v>118082.1</v>
      </c>
    </row>
    <row r="446" spans="1:7" ht="15">
      <c r="A446" s="31" t="s">
        <v>1639</v>
      </c>
      <c r="B446" s="51" t="s">
        <v>1966</v>
      </c>
      <c r="C446" s="15" t="s">
        <v>1652</v>
      </c>
      <c r="D446" s="15" t="s">
        <v>923</v>
      </c>
      <c r="E446" s="15" t="s">
        <v>1627</v>
      </c>
      <c r="F446" s="15"/>
      <c r="G446" s="18">
        <f>G447+G450+G452+G455+G458</f>
        <v>36423.1</v>
      </c>
    </row>
    <row r="447" spans="1:7" ht="48">
      <c r="A447" s="16" t="s">
        <v>1507</v>
      </c>
      <c r="B447" s="51" t="s">
        <v>1966</v>
      </c>
      <c r="C447" s="15" t="s">
        <v>1652</v>
      </c>
      <c r="D447" s="15" t="s">
        <v>923</v>
      </c>
      <c r="E447" s="15" t="s">
        <v>687</v>
      </c>
      <c r="F447" s="15" t="s">
        <v>575</v>
      </c>
      <c r="G447" s="18">
        <f>G448</f>
        <v>9578.7</v>
      </c>
    </row>
    <row r="448" spans="1:7" ht="24">
      <c r="A448" s="16" t="s">
        <v>269</v>
      </c>
      <c r="B448" s="51" t="s">
        <v>1966</v>
      </c>
      <c r="C448" s="15" t="s">
        <v>1652</v>
      </c>
      <c r="D448" s="15" t="s">
        <v>923</v>
      </c>
      <c r="E448" s="15" t="s">
        <v>687</v>
      </c>
      <c r="F448" s="15" t="s">
        <v>271</v>
      </c>
      <c r="G448" s="18">
        <f>G449</f>
        <v>9578.7</v>
      </c>
    </row>
    <row r="449" spans="1:7" ht="24">
      <c r="A449" s="16" t="s">
        <v>269</v>
      </c>
      <c r="B449" s="51" t="s">
        <v>1966</v>
      </c>
      <c r="C449" s="15" t="s">
        <v>1652</v>
      </c>
      <c r="D449" s="15" t="s">
        <v>923</v>
      </c>
      <c r="E449" s="15" t="s">
        <v>687</v>
      </c>
      <c r="F449" s="15" t="s">
        <v>570</v>
      </c>
      <c r="G449" s="18">
        <f>9539.7+39</f>
        <v>9578.7</v>
      </c>
    </row>
    <row r="450" spans="1:7" ht="36" hidden="1">
      <c r="A450" s="16" t="s">
        <v>474</v>
      </c>
      <c r="B450" s="51" t="s">
        <v>1966</v>
      </c>
      <c r="C450" s="15" t="s">
        <v>1652</v>
      </c>
      <c r="D450" s="15" t="s">
        <v>923</v>
      </c>
      <c r="E450" s="15" t="s">
        <v>475</v>
      </c>
      <c r="F450" s="15" t="s">
        <v>575</v>
      </c>
      <c r="G450" s="18">
        <f>G451</f>
        <v>0</v>
      </c>
    </row>
    <row r="451" spans="1:7" ht="24.75" hidden="1">
      <c r="A451" s="16" t="s">
        <v>1195</v>
      </c>
      <c r="B451" s="51" t="s">
        <v>1966</v>
      </c>
      <c r="C451" s="15" t="s">
        <v>1652</v>
      </c>
      <c r="D451" s="15" t="s">
        <v>923</v>
      </c>
      <c r="E451" s="15" t="s">
        <v>475</v>
      </c>
      <c r="F451" s="15" t="s">
        <v>271</v>
      </c>
      <c r="G451" s="18">
        <v>0</v>
      </c>
    </row>
    <row r="452" spans="1:7" ht="36">
      <c r="A452" s="16" t="s">
        <v>476</v>
      </c>
      <c r="B452" s="51" t="s">
        <v>1966</v>
      </c>
      <c r="C452" s="15" t="s">
        <v>1652</v>
      </c>
      <c r="D452" s="15" t="s">
        <v>923</v>
      </c>
      <c r="E452" s="15" t="s">
        <v>838</v>
      </c>
      <c r="F452" s="15" t="s">
        <v>575</v>
      </c>
      <c r="G452" s="18">
        <f>G453</f>
        <v>970.4</v>
      </c>
    </row>
    <row r="453" spans="1:7" ht="24">
      <c r="A453" s="16" t="s">
        <v>372</v>
      </c>
      <c r="B453" s="51" t="s">
        <v>1966</v>
      </c>
      <c r="C453" s="15" t="s">
        <v>1652</v>
      </c>
      <c r="D453" s="15" t="s">
        <v>923</v>
      </c>
      <c r="E453" s="15" t="s">
        <v>838</v>
      </c>
      <c r="F453" s="15" t="s">
        <v>271</v>
      </c>
      <c r="G453" s="18">
        <f>G454</f>
        <v>970.4</v>
      </c>
    </row>
    <row r="454" spans="1:7" ht="24">
      <c r="A454" s="16" t="s">
        <v>269</v>
      </c>
      <c r="B454" s="51" t="s">
        <v>1966</v>
      </c>
      <c r="C454" s="15" t="s">
        <v>1652</v>
      </c>
      <c r="D454" s="15" t="s">
        <v>923</v>
      </c>
      <c r="E454" s="15" t="s">
        <v>838</v>
      </c>
      <c r="F454" s="15" t="s">
        <v>570</v>
      </c>
      <c r="G454" s="18">
        <v>970.4</v>
      </c>
    </row>
    <row r="455" spans="1:7" ht="24">
      <c r="A455" s="16" t="s">
        <v>1668</v>
      </c>
      <c r="B455" s="51" t="s">
        <v>1966</v>
      </c>
      <c r="C455" s="15" t="s">
        <v>1652</v>
      </c>
      <c r="D455" s="15" t="s">
        <v>923</v>
      </c>
      <c r="E455" s="15" t="s">
        <v>839</v>
      </c>
      <c r="F455" s="15" t="s">
        <v>575</v>
      </c>
      <c r="G455" s="18">
        <f>G456</f>
        <v>250</v>
      </c>
    </row>
    <row r="456" spans="1:7" ht="24">
      <c r="A456" s="16" t="s">
        <v>1195</v>
      </c>
      <c r="B456" s="51" t="s">
        <v>1966</v>
      </c>
      <c r="C456" s="15" t="s">
        <v>1652</v>
      </c>
      <c r="D456" s="15" t="s">
        <v>923</v>
      </c>
      <c r="E456" s="15" t="s">
        <v>839</v>
      </c>
      <c r="F456" s="15" t="s">
        <v>271</v>
      </c>
      <c r="G456" s="18">
        <f>G457</f>
        <v>250</v>
      </c>
    </row>
    <row r="457" spans="1:7" ht="24">
      <c r="A457" s="16" t="s">
        <v>269</v>
      </c>
      <c r="B457" s="51" t="s">
        <v>1966</v>
      </c>
      <c r="C457" s="15" t="s">
        <v>1652</v>
      </c>
      <c r="D457" s="15" t="s">
        <v>923</v>
      </c>
      <c r="E457" s="15" t="s">
        <v>839</v>
      </c>
      <c r="F457" s="15" t="s">
        <v>570</v>
      </c>
      <c r="G457" s="18">
        <v>250</v>
      </c>
    </row>
    <row r="458" spans="1:7" ht="15">
      <c r="A458" s="16" t="s">
        <v>2002</v>
      </c>
      <c r="B458" s="51" t="s">
        <v>1966</v>
      </c>
      <c r="C458" s="15" t="s">
        <v>1652</v>
      </c>
      <c r="D458" s="15" t="s">
        <v>923</v>
      </c>
      <c r="E458" s="15" t="s">
        <v>1058</v>
      </c>
      <c r="F458" s="158" t="s">
        <v>575</v>
      </c>
      <c r="G458" s="18">
        <f>G459</f>
        <v>25624</v>
      </c>
    </row>
    <row r="459" spans="1:7" ht="24">
      <c r="A459" s="16" t="s">
        <v>1195</v>
      </c>
      <c r="B459" s="51" t="s">
        <v>1966</v>
      </c>
      <c r="C459" s="15" t="s">
        <v>1652</v>
      </c>
      <c r="D459" s="15" t="s">
        <v>923</v>
      </c>
      <c r="E459" s="15" t="s">
        <v>1058</v>
      </c>
      <c r="F459" s="15" t="s">
        <v>271</v>
      </c>
      <c r="G459" s="18">
        <f>G460+G461</f>
        <v>25624</v>
      </c>
    </row>
    <row r="460" spans="1:7" ht="24">
      <c r="A460" s="16" t="s">
        <v>269</v>
      </c>
      <c r="B460" s="51" t="s">
        <v>1966</v>
      </c>
      <c r="C460" s="15" t="s">
        <v>1652</v>
      </c>
      <c r="D460" s="15" t="s">
        <v>923</v>
      </c>
      <c r="E460" s="15" t="s">
        <v>1058</v>
      </c>
      <c r="F460" s="15" t="s">
        <v>570</v>
      </c>
      <c r="G460" s="18">
        <f>4640+1000+10424+7292-7292+2636+275+5513-447+2883-1000-300</f>
        <v>25624</v>
      </c>
    </row>
    <row r="461" spans="1:7" ht="24.75" hidden="1">
      <c r="A461" s="16" t="s">
        <v>969</v>
      </c>
      <c r="B461" s="51" t="s">
        <v>1966</v>
      </c>
      <c r="C461" s="15" t="s">
        <v>1652</v>
      </c>
      <c r="D461" s="15" t="s">
        <v>923</v>
      </c>
      <c r="E461" s="15" t="s">
        <v>1058</v>
      </c>
      <c r="F461" s="15" t="s">
        <v>180</v>
      </c>
      <c r="G461" s="18">
        <f>G462+G464+G465</f>
        <v>0</v>
      </c>
    </row>
    <row r="462" spans="1:7" ht="72" hidden="1">
      <c r="A462" s="16" t="s">
        <v>2012</v>
      </c>
      <c r="B462" s="51" t="s">
        <v>1966</v>
      </c>
      <c r="C462" s="15" t="s">
        <v>1652</v>
      </c>
      <c r="D462" s="15" t="s">
        <v>923</v>
      </c>
      <c r="E462" s="15" t="s">
        <v>1058</v>
      </c>
      <c r="F462" s="15" t="s">
        <v>180</v>
      </c>
      <c r="G462" s="18"/>
    </row>
    <row r="463" spans="1:7" ht="45.75" customHeight="1" hidden="1">
      <c r="A463" s="16" t="s">
        <v>83</v>
      </c>
      <c r="B463" s="51" t="s">
        <v>1966</v>
      </c>
      <c r="C463" s="15" t="s">
        <v>1652</v>
      </c>
      <c r="D463" s="15" t="s">
        <v>923</v>
      </c>
      <c r="E463" s="15" t="s">
        <v>1940</v>
      </c>
      <c r="F463" s="15" t="s">
        <v>180</v>
      </c>
      <c r="G463" s="18">
        <v>0</v>
      </c>
    </row>
    <row r="464" spans="1:7" ht="24.75" hidden="1">
      <c r="A464" s="16" t="s">
        <v>1613</v>
      </c>
      <c r="B464" s="51" t="s">
        <v>1966</v>
      </c>
      <c r="C464" s="15" t="s">
        <v>1652</v>
      </c>
      <c r="D464" s="15" t="s">
        <v>923</v>
      </c>
      <c r="E464" s="15" t="s">
        <v>1952</v>
      </c>
      <c r="F464" s="15" t="s">
        <v>180</v>
      </c>
      <c r="G464" s="18">
        <f>G465</f>
        <v>0</v>
      </c>
    </row>
    <row r="465" spans="1:7" ht="48" hidden="1">
      <c r="A465" s="16" t="s">
        <v>1090</v>
      </c>
      <c r="B465" s="51" t="s">
        <v>1966</v>
      </c>
      <c r="C465" s="15" t="s">
        <v>1652</v>
      </c>
      <c r="D465" s="15" t="s">
        <v>923</v>
      </c>
      <c r="E465" s="15" t="s">
        <v>1614</v>
      </c>
      <c r="F465" s="15" t="s">
        <v>180</v>
      </c>
      <c r="G465" s="18"/>
    </row>
    <row r="466" spans="1:7" ht="41.25" customHeight="1" hidden="1">
      <c r="A466" s="16" t="s">
        <v>589</v>
      </c>
      <c r="B466" s="51" t="s">
        <v>1966</v>
      </c>
      <c r="C466" s="15" t="s">
        <v>1652</v>
      </c>
      <c r="D466" s="15" t="s">
        <v>923</v>
      </c>
      <c r="E466" s="15" t="s">
        <v>668</v>
      </c>
      <c r="F466" s="15" t="s">
        <v>575</v>
      </c>
      <c r="G466" s="18">
        <f>G467</f>
        <v>0</v>
      </c>
    </row>
    <row r="467" spans="1:7" ht="24.75" hidden="1">
      <c r="A467" s="16" t="s">
        <v>372</v>
      </c>
      <c r="B467" s="51" t="s">
        <v>1966</v>
      </c>
      <c r="C467" s="15" t="s">
        <v>1652</v>
      </c>
      <c r="D467" s="15" t="s">
        <v>923</v>
      </c>
      <c r="E467" s="15" t="s">
        <v>668</v>
      </c>
      <c r="F467" s="15" t="s">
        <v>271</v>
      </c>
      <c r="G467" s="18">
        <f>G468</f>
        <v>0</v>
      </c>
    </row>
    <row r="468" spans="1:7" ht="24.75" hidden="1">
      <c r="A468" s="16" t="s">
        <v>269</v>
      </c>
      <c r="B468" s="51" t="s">
        <v>1966</v>
      </c>
      <c r="C468" s="15" t="s">
        <v>1652</v>
      </c>
      <c r="D468" s="15" t="s">
        <v>923</v>
      </c>
      <c r="E468" s="15" t="s">
        <v>668</v>
      </c>
      <c r="F468" s="15" t="s">
        <v>570</v>
      </c>
      <c r="G468" s="18">
        <v>0</v>
      </c>
    </row>
    <row r="469" spans="1:7" ht="15">
      <c r="A469" s="31" t="s">
        <v>1640</v>
      </c>
      <c r="B469" s="51" t="s">
        <v>1966</v>
      </c>
      <c r="C469" s="15" t="s">
        <v>1652</v>
      </c>
      <c r="D469" s="15" t="s">
        <v>923</v>
      </c>
      <c r="E469" s="15" t="s">
        <v>1370</v>
      </c>
      <c r="F469" s="15"/>
      <c r="G469" s="18">
        <f>G470+G472+G474</f>
        <v>3505</v>
      </c>
    </row>
    <row r="470" spans="1:7" ht="24.75" hidden="1">
      <c r="A470" s="16" t="s">
        <v>1137</v>
      </c>
      <c r="B470" s="51" t="s">
        <v>1966</v>
      </c>
      <c r="C470" s="15" t="s">
        <v>1652</v>
      </c>
      <c r="D470" s="15" t="s">
        <v>923</v>
      </c>
      <c r="E470" s="15" t="s">
        <v>477</v>
      </c>
      <c r="F470" s="15" t="s">
        <v>575</v>
      </c>
      <c r="G470" s="18">
        <f>G471</f>
        <v>0</v>
      </c>
    </row>
    <row r="471" spans="1:7" ht="24.75" hidden="1">
      <c r="A471" s="16" t="s">
        <v>1195</v>
      </c>
      <c r="B471" s="51" t="s">
        <v>1966</v>
      </c>
      <c r="C471" s="15" t="s">
        <v>1652</v>
      </c>
      <c r="D471" s="15" t="s">
        <v>923</v>
      </c>
      <c r="E471" s="15" t="s">
        <v>477</v>
      </c>
      <c r="F471" s="15" t="s">
        <v>271</v>
      </c>
      <c r="G471" s="18">
        <v>0</v>
      </c>
    </row>
    <row r="472" spans="1:7" ht="36" hidden="1">
      <c r="A472" s="16" t="s">
        <v>670</v>
      </c>
      <c r="B472" s="51" t="s">
        <v>1966</v>
      </c>
      <c r="C472" s="15" t="s">
        <v>1652</v>
      </c>
      <c r="D472" s="15" t="s">
        <v>923</v>
      </c>
      <c r="E472" s="15" t="s">
        <v>478</v>
      </c>
      <c r="F472" s="15" t="s">
        <v>575</v>
      </c>
      <c r="G472" s="18">
        <f>G473</f>
        <v>0</v>
      </c>
    </row>
    <row r="473" spans="1:7" ht="24.75" hidden="1">
      <c r="A473" s="16" t="s">
        <v>1195</v>
      </c>
      <c r="B473" s="51" t="s">
        <v>1966</v>
      </c>
      <c r="C473" s="15" t="s">
        <v>1652</v>
      </c>
      <c r="D473" s="15" t="s">
        <v>923</v>
      </c>
      <c r="E473" s="15" t="s">
        <v>478</v>
      </c>
      <c r="F473" s="15" t="s">
        <v>271</v>
      </c>
      <c r="G473" s="18"/>
    </row>
    <row r="474" spans="1:7" ht="24">
      <c r="A474" s="16" t="s">
        <v>2002</v>
      </c>
      <c r="B474" s="51" t="s">
        <v>1966</v>
      </c>
      <c r="C474" s="15" t="s">
        <v>1652</v>
      </c>
      <c r="D474" s="15" t="s">
        <v>923</v>
      </c>
      <c r="E474" s="15" t="s">
        <v>1059</v>
      </c>
      <c r="F474" s="15" t="s">
        <v>575</v>
      </c>
      <c r="G474" s="18">
        <f>G475</f>
        <v>3505</v>
      </c>
    </row>
    <row r="475" spans="1:7" ht="24">
      <c r="A475" s="16" t="s">
        <v>1195</v>
      </c>
      <c r="B475" s="51" t="s">
        <v>1966</v>
      </c>
      <c r="C475" s="15" t="s">
        <v>1652</v>
      </c>
      <c r="D475" s="15" t="s">
        <v>923</v>
      </c>
      <c r="E475" s="15" t="s">
        <v>1059</v>
      </c>
      <c r="F475" s="15" t="s">
        <v>271</v>
      </c>
      <c r="G475" s="18">
        <f>G476</f>
        <v>3505</v>
      </c>
    </row>
    <row r="476" spans="1:7" ht="24">
      <c r="A476" s="16" t="s">
        <v>269</v>
      </c>
      <c r="B476" s="51" t="s">
        <v>1966</v>
      </c>
      <c r="C476" s="15" t="s">
        <v>1652</v>
      </c>
      <c r="D476" s="15" t="s">
        <v>923</v>
      </c>
      <c r="E476" s="15" t="s">
        <v>1059</v>
      </c>
      <c r="F476" s="15" t="s">
        <v>570</v>
      </c>
      <c r="G476" s="18">
        <f>36+5469-2000</f>
        <v>3505</v>
      </c>
    </row>
    <row r="477" spans="1:7" ht="15">
      <c r="A477" s="192" t="s">
        <v>1148</v>
      </c>
      <c r="B477" s="51" t="s">
        <v>1966</v>
      </c>
      <c r="C477" s="15" t="s">
        <v>1652</v>
      </c>
      <c r="D477" s="15" t="s">
        <v>923</v>
      </c>
      <c r="E477" s="15" t="s">
        <v>1149</v>
      </c>
      <c r="F477" s="15"/>
      <c r="G477" s="18">
        <f>G478+G481</f>
        <v>22536</v>
      </c>
    </row>
    <row r="478" spans="1:7" ht="60" hidden="1">
      <c r="A478" s="16" t="s">
        <v>967</v>
      </c>
      <c r="B478" s="51" t="s">
        <v>1966</v>
      </c>
      <c r="C478" s="15" t="s">
        <v>1652</v>
      </c>
      <c r="D478" s="15" t="s">
        <v>923</v>
      </c>
      <c r="E478" s="15" t="s">
        <v>686</v>
      </c>
      <c r="F478" s="15" t="s">
        <v>575</v>
      </c>
      <c r="G478" s="18">
        <f>G479</f>
        <v>0</v>
      </c>
    </row>
    <row r="479" spans="1:7" ht="24.75" hidden="1">
      <c r="A479" s="16" t="s">
        <v>1195</v>
      </c>
      <c r="B479" s="51" t="s">
        <v>1966</v>
      </c>
      <c r="C479" s="15" t="s">
        <v>1652</v>
      </c>
      <c r="D479" s="15" t="s">
        <v>923</v>
      </c>
      <c r="E479" s="15" t="s">
        <v>686</v>
      </c>
      <c r="F479" s="15" t="s">
        <v>271</v>
      </c>
      <c r="G479" s="18">
        <f>G480</f>
        <v>0</v>
      </c>
    </row>
    <row r="480" spans="1:7" ht="25.5" hidden="1" thickBot="1">
      <c r="A480" s="183" t="s">
        <v>269</v>
      </c>
      <c r="B480" s="51" t="s">
        <v>1966</v>
      </c>
      <c r="C480" s="15" t="s">
        <v>1652</v>
      </c>
      <c r="D480" s="15" t="s">
        <v>923</v>
      </c>
      <c r="E480" s="15" t="s">
        <v>686</v>
      </c>
      <c r="F480" s="15" t="s">
        <v>570</v>
      </c>
      <c r="G480" s="18">
        <v>0</v>
      </c>
    </row>
    <row r="481" spans="1:7" ht="24">
      <c r="A481" s="198" t="s">
        <v>0</v>
      </c>
      <c r="B481" s="186" t="s">
        <v>1966</v>
      </c>
      <c r="C481" s="15" t="s">
        <v>1652</v>
      </c>
      <c r="D481" s="15" t="s">
        <v>923</v>
      </c>
      <c r="E481" s="15" t="s">
        <v>1</v>
      </c>
      <c r="F481" s="15" t="s">
        <v>575</v>
      </c>
      <c r="G481" s="18">
        <f>G482</f>
        <v>22536</v>
      </c>
    </row>
    <row r="482" spans="1:7" ht="24">
      <c r="A482" s="184" t="s">
        <v>1195</v>
      </c>
      <c r="B482" s="51" t="s">
        <v>1966</v>
      </c>
      <c r="C482" s="15" t="s">
        <v>1652</v>
      </c>
      <c r="D482" s="15" t="s">
        <v>923</v>
      </c>
      <c r="E482" s="15" t="s">
        <v>1</v>
      </c>
      <c r="F482" s="15" t="s">
        <v>271</v>
      </c>
      <c r="G482" s="18">
        <f>G483</f>
        <v>22536</v>
      </c>
    </row>
    <row r="483" spans="1:7" ht="24">
      <c r="A483" s="16" t="s">
        <v>269</v>
      </c>
      <c r="B483" s="51" t="s">
        <v>1966</v>
      </c>
      <c r="C483" s="15" t="s">
        <v>1652</v>
      </c>
      <c r="D483" s="15" t="s">
        <v>923</v>
      </c>
      <c r="E483" s="15" t="s">
        <v>1</v>
      </c>
      <c r="F483" s="15" t="s">
        <v>570</v>
      </c>
      <c r="G483" s="18">
        <v>22536</v>
      </c>
    </row>
    <row r="484" spans="1:7" ht="15">
      <c r="A484" s="31" t="s">
        <v>1664</v>
      </c>
      <c r="B484" s="51" t="s">
        <v>1966</v>
      </c>
      <c r="C484" s="15" t="s">
        <v>1652</v>
      </c>
      <c r="D484" s="15" t="s">
        <v>923</v>
      </c>
      <c r="E484" s="15" t="s">
        <v>1663</v>
      </c>
      <c r="F484" s="15"/>
      <c r="G484" s="18">
        <f>G485+G488</f>
        <v>55618.00000000001</v>
      </c>
    </row>
    <row r="485" spans="1:7" ht="24" hidden="1">
      <c r="A485" s="16" t="s">
        <v>922</v>
      </c>
      <c r="B485" s="51" t="s">
        <v>1966</v>
      </c>
      <c r="C485" s="15" t="s">
        <v>1652</v>
      </c>
      <c r="D485" s="15" t="s">
        <v>923</v>
      </c>
      <c r="E485" s="52" t="s">
        <v>853</v>
      </c>
      <c r="F485" s="52"/>
      <c r="G485" s="18">
        <f>G486</f>
        <v>0</v>
      </c>
    </row>
    <row r="486" spans="1:7" ht="24.75" hidden="1">
      <c r="A486" s="16" t="s">
        <v>270</v>
      </c>
      <c r="B486" s="51" t="s">
        <v>1966</v>
      </c>
      <c r="C486" s="15" t="s">
        <v>1652</v>
      </c>
      <c r="D486" s="15" t="s">
        <v>923</v>
      </c>
      <c r="E486" s="52" t="s">
        <v>853</v>
      </c>
      <c r="F486" s="52" t="s">
        <v>271</v>
      </c>
      <c r="G486" s="18">
        <f>G487</f>
        <v>0</v>
      </c>
    </row>
    <row r="487" spans="1:7" ht="24.75" hidden="1">
      <c r="A487" s="16" t="s">
        <v>269</v>
      </c>
      <c r="B487" s="51" t="s">
        <v>1966</v>
      </c>
      <c r="C487" s="15" t="s">
        <v>1652</v>
      </c>
      <c r="D487" s="15" t="s">
        <v>923</v>
      </c>
      <c r="E487" s="52" t="s">
        <v>853</v>
      </c>
      <c r="F487" s="52" t="s">
        <v>570</v>
      </c>
      <c r="G487" s="18">
        <v>0</v>
      </c>
    </row>
    <row r="488" spans="1:7" ht="24">
      <c r="A488" s="121" t="s">
        <v>1085</v>
      </c>
      <c r="B488" s="51" t="s">
        <v>1966</v>
      </c>
      <c r="C488" s="15" t="s">
        <v>1652</v>
      </c>
      <c r="D488" s="15" t="s">
        <v>923</v>
      </c>
      <c r="E488" s="52" t="s">
        <v>1615</v>
      </c>
      <c r="F488" s="52" t="s">
        <v>575</v>
      </c>
      <c r="G488" s="18">
        <f>G489</f>
        <v>55618.00000000001</v>
      </c>
    </row>
    <row r="489" spans="1:7" ht="24">
      <c r="A489" s="16" t="s">
        <v>969</v>
      </c>
      <c r="B489" s="51" t="s">
        <v>1966</v>
      </c>
      <c r="C489" s="15" t="s">
        <v>1652</v>
      </c>
      <c r="D489" s="15" t="s">
        <v>923</v>
      </c>
      <c r="E489" s="52" t="s">
        <v>1615</v>
      </c>
      <c r="F489" s="52" t="s">
        <v>180</v>
      </c>
      <c r="G489" s="18">
        <f>G490+G491+G492+G493+G494+G495+G496+G497+G498+G499</f>
        <v>55618.00000000001</v>
      </c>
    </row>
    <row r="490" spans="1:7" ht="24.75" hidden="1">
      <c r="A490" s="16" t="s">
        <v>671</v>
      </c>
      <c r="B490" s="51" t="s">
        <v>1966</v>
      </c>
      <c r="C490" s="15" t="s">
        <v>1652</v>
      </c>
      <c r="D490" s="15" t="s">
        <v>923</v>
      </c>
      <c r="E490" s="52" t="s">
        <v>1615</v>
      </c>
      <c r="F490" s="52" t="s">
        <v>180</v>
      </c>
      <c r="G490" s="18"/>
    </row>
    <row r="491" spans="1:7" ht="24.75" hidden="1">
      <c r="A491" s="16" t="s">
        <v>125</v>
      </c>
      <c r="B491" s="51" t="s">
        <v>1966</v>
      </c>
      <c r="C491" s="15" t="s">
        <v>1652</v>
      </c>
      <c r="D491" s="15" t="s">
        <v>923</v>
      </c>
      <c r="E491" s="52" t="s">
        <v>1615</v>
      </c>
      <c r="F491" s="52" t="s">
        <v>180</v>
      </c>
      <c r="G491" s="18">
        <f>2317-2317</f>
        <v>0</v>
      </c>
    </row>
    <row r="492" spans="1:7" ht="60" hidden="1">
      <c r="A492" s="16" t="s">
        <v>1086</v>
      </c>
      <c r="B492" s="51" t="s">
        <v>1966</v>
      </c>
      <c r="C492" s="15" t="s">
        <v>1652</v>
      </c>
      <c r="D492" s="15" t="s">
        <v>923</v>
      </c>
      <c r="E492" s="52" t="s">
        <v>1615</v>
      </c>
      <c r="F492" s="52" t="s">
        <v>180</v>
      </c>
      <c r="G492" s="18"/>
    </row>
    <row r="493" spans="1:7" ht="24">
      <c r="A493" s="16" t="s">
        <v>369</v>
      </c>
      <c r="B493" s="51" t="s">
        <v>1966</v>
      </c>
      <c r="C493" s="15" t="s">
        <v>1652</v>
      </c>
      <c r="D493" s="15" t="s">
        <v>923</v>
      </c>
      <c r="E493" s="52" t="s">
        <v>1615</v>
      </c>
      <c r="F493" s="52" t="s">
        <v>180</v>
      </c>
      <c r="G493" s="18">
        <f>1918+5422.9+7130+5000</f>
        <v>19470.9</v>
      </c>
    </row>
    <row r="494" spans="1:7" ht="76.5" customHeight="1">
      <c r="A494" s="16" t="s">
        <v>319</v>
      </c>
      <c r="B494" s="51" t="s">
        <v>1966</v>
      </c>
      <c r="C494" s="15" t="s">
        <v>1652</v>
      </c>
      <c r="D494" s="15" t="s">
        <v>923</v>
      </c>
      <c r="E494" s="52" t="s">
        <v>1615</v>
      </c>
      <c r="F494" s="52" t="s">
        <v>180</v>
      </c>
      <c r="G494" s="18">
        <f>11566.2+866.6-146.1-268.4+85.8+3337.6+16289.1+1460-5422.9-0.1-715.7+35+598.1+1102.6+715.7-655.8-178-175.4-1509.8+585.9+380+1217+90+1444.5+2500</f>
        <v>33201.9</v>
      </c>
    </row>
    <row r="495" spans="1:7" ht="24">
      <c r="A495" s="16" t="s">
        <v>158</v>
      </c>
      <c r="B495" s="51" t="s">
        <v>1966</v>
      </c>
      <c r="C495" s="15" t="s">
        <v>1652</v>
      </c>
      <c r="D495" s="15" t="s">
        <v>923</v>
      </c>
      <c r="E495" s="52" t="s">
        <v>1615</v>
      </c>
      <c r="F495" s="52" t="s">
        <v>180</v>
      </c>
      <c r="G495" s="18">
        <f>480+270.3</f>
        <v>750.3</v>
      </c>
    </row>
    <row r="496" spans="1:7" ht="24">
      <c r="A496" s="16" t="s">
        <v>518</v>
      </c>
      <c r="B496" s="51" t="s">
        <v>1966</v>
      </c>
      <c r="C496" s="15" t="s">
        <v>1652</v>
      </c>
      <c r="D496" s="15" t="s">
        <v>923</v>
      </c>
      <c r="E496" s="52" t="s">
        <v>1615</v>
      </c>
      <c r="F496" s="52" t="s">
        <v>180</v>
      </c>
      <c r="G496" s="18">
        <v>1545.1</v>
      </c>
    </row>
    <row r="497" spans="1:7" ht="24">
      <c r="A497" s="16" t="s">
        <v>896</v>
      </c>
      <c r="B497" s="51" t="s">
        <v>1966</v>
      </c>
      <c r="C497" s="15" t="s">
        <v>1652</v>
      </c>
      <c r="D497" s="15" t="s">
        <v>923</v>
      </c>
      <c r="E497" s="52" t="s">
        <v>1615</v>
      </c>
      <c r="F497" s="52" t="s">
        <v>180</v>
      </c>
      <c r="G497" s="18">
        <v>14</v>
      </c>
    </row>
    <row r="498" spans="1:7" ht="24">
      <c r="A498" s="16" t="s">
        <v>316</v>
      </c>
      <c r="B498" s="51" t="s">
        <v>1966</v>
      </c>
      <c r="C498" s="15" t="s">
        <v>1652</v>
      </c>
      <c r="D498" s="15" t="s">
        <v>923</v>
      </c>
      <c r="E498" s="52" t="s">
        <v>1615</v>
      </c>
      <c r="F498" s="52" t="s">
        <v>180</v>
      </c>
      <c r="G498" s="18">
        <v>140.3</v>
      </c>
    </row>
    <row r="499" spans="1:7" ht="24">
      <c r="A499" s="16" t="s">
        <v>1985</v>
      </c>
      <c r="B499" s="51" t="s">
        <v>1966</v>
      </c>
      <c r="C499" s="15" t="s">
        <v>1652</v>
      </c>
      <c r="D499" s="15" t="s">
        <v>923</v>
      </c>
      <c r="E499" s="52" t="s">
        <v>1615</v>
      </c>
      <c r="F499" s="52" t="s">
        <v>180</v>
      </c>
      <c r="G499" s="18">
        <v>495.5</v>
      </c>
    </row>
    <row r="500" spans="1:7" ht="15">
      <c r="A500" s="75" t="s">
        <v>1105</v>
      </c>
      <c r="B500" s="51" t="s">
        <v>1966</v>
      </c>
      <c r="C500" s="15" t="s">
        <v>1652</v>
      </c>
      <c r="D500" s="15" t="s">
        <v>1653</v>
      </c>
      <c r="E500" s="15"/>
      <c r="F500" s="15"/>
      <c r="G500" s="53">
        <f>G501+G509</f>
        <v>109</v>
      </c>
    </row>
    <row r="501" spans="1:17" s="85" customFormat="1" ht="15">
      <c r="A501" s="31" t="s">
        <v>651</v>
      </c>
      <c r="B501" s="65" t="s">
        <v>1966</v>
      </c>
      <c r="C501" s="52" t="s">
        <v>1652</v>
      </c>
      <c r="D501" s="52" t="s">
        <v>1653</v>
      </c>
      <c r="E501" s="52" t="s">
        <v>1886</v>
      </c>
      <c r="F501" s="52"/>
      <c r="G501" s="53">
        <f>G502+G504+G506</f>
        <v>109</v>
      </c>
      <c r="J501" s="162"/>
      <c r="K501" s="162"/>
      <c r="L501" s="162"/>
      <c r="M501" s="162"/>
      <c r="N501" s="162"/>
      <c r="O501" s="162"/>
      <c r="P501" s="162"/>
      <c r="Q501" s="162"/>
    </row>
    <row r="502" spans="1:17" s="85" customFormat="1" ht="24.75" hidden="1">
      <c r="A502" s="35" t="s">
        <v>479</v>
      </c>
      <c r="B502" s="65" t="s">
        <v>1966</v>
      </c>
      <c r="C502" s="52" t="s">
        <v>1652</v>
      </c>
      <c r="D502" s="52" t="s">
        <v>1653</v>
      </c>
      <c r="E502" s="52" t="s">
        <v>231</v>
      </c>
      <c r="F502" s="52" t="s">
        <v>575</v>
      </c>
      <c r="G502" s="18">
        <f>G503</f>
        <v>0</v>
      </c>
      <c r="J502" s="162"/>
      <c r="K502" s="162"/>
      <c r="L502" s="162"/>
      <c r="M502" s="162"/>
      <c r="N502" s="162"/>
      <c r="O502" s="162"/>
      <c r="P502" s="162"/>
      <c r="Q502" s="162"/>
    </row>
    <row r="503" spans="1:17" s="85" customFormat="1" ht="24.75" hidden="1">
      <c r="A503" s="16" t="s">
        <v>1195</v>
      </c>
      <c r="B503" s="65" t="s">
        <v>1966</v>
      </c>
      <c r="C503" s="15" t="s">
        <v>1652</v>
      </c>
      <c r="D503" s="15" t="s">
        <v>1653</v>
      </c>
      <c r="E503" s="52" t="s">
        <v>231</v>
      </c>
      <c r="F503" s="15" t="s">
        <v>271</v>
      </c>
      <c r="G503" s="18"/>
      <c r="J503" s="162"/>
      <c r="K503" s="162"/>
      <c r="L503" s="162"/>
      <c r="M503" s="162"/>
      <c r="N503" s="162"/>
      <c r="O503" s="162"/>
      <c r="P503" s="162"/>
      <c r="Q503" s="162"/>
    </row>
    <row r="504" spans="1:17" s="85" customFormat="1" ht="36" hidden="1">
      <c r="A504" s="35" t="s">
        <v>1156</v>
      </c>
      <c r="B504" s="65" t="s">
        <v>1966</v>
      </c>
      <c r="C504" s="15" t="s">
        <v>1652</v>
      </c>
      <c r="D504" s="15" t="s">
        <v>1653</v>
      </c>
      <c r="E504" s="15" t="s">
        <v>473</v>
      </c>
      <c r="F504" s="15" t="s">
        <v>575</v>
      </c>
      <c r="G504" s="18">
        <f>G505</f>
        <v>0</v>
      </c>
      <c r="J504" s="162"/>
      <c r="K504" s="162"/>
      <c r="L504" s="162"/>
      <c r="M504" s="162"/>
      <c r="N504" s="162"/>
      <c r="O504" s="162"/>
      <c r="P504" s="162"/>
      <c r="Q504" s="162"/>
    </row>
    <row r="505" spans="1:17" s="85" customFormat="1" ht="24.75" hidden="1">
      <c r="A505" s="16" t="s">
        <v>1195</v>
      </c>
      <c r="B505" s="65" t="s">
        <v>1966</v>
      </c>
      <c r="C505" s="15" t="s">
        <v>1652</v>
      </c>
      <c r="D505" s="15" t="s">
        <v>1653</v>
      </c>
      <c r="E505" s="15" t="s">
        <v>473</v>
      </c>
      <c r="F505" s="15" t="s">
        <v>271</v>
      </c>
      <c r="G505" s="18"/>
      <c r="J505" s="162"/>
      <c r="K505" s="162"/>
      <c r="L505" s="162"/>
      <c r="M505" s="162"/>
      <c r="N505" s="162"/>
      <c r="O505" s="162"/>
      <c r="P505" s="162"/>
      <c r="Q505" s="162"/>
    </row>
    <row r="506" spans="1:7" ht="24">
      <c r="A506" s="16" t="s">
        <v>669</v>
      </c>
      <c r="B506" s="65" t="s">
        <v>1966</v>
      </c>
      <c r="C506" s="15" t="s">
        <v>1652</v>
      </c>
      <c r="D506" s="15" t="s">
        <v>1653</v>
      </c>
      <c r="E506" s="15" t="s">
        <v>1175</v>
      </c>
      <c r="F506" s="15" t="s">
        <v>575</v>
      </c>
      <c r="G506" s="18">
        <f>G507</f>
        <v>109</v>
      </c>
    </row>
    <row r="507" spans="1:7" ht="24">
      <c r="A507" s="16" t="s">
        <v>1195</v>
      </c>
      <c r="B507" s="65" t="s">
        <v>1966</v>
      </c>
      <c r="C507" s="15" t="s">
        <v>1652</v>
      </c>
      <c r="D507" s="15" t="s">
        <v>1653</v>
      </c>
      <c r="E507" s="15" t="s">
        <v>1175</v>
      </c>
      <c r="F507" s="15" t="s">
        <v>271</v>
      </c>
      <c r="G507" s="18">
        <f>G508</f>
        <v>109</v>
      </c>
    </row>
    <row r="508" spans="1:7" ht="24">
      <c r="A508" s="16" t="s">
        <v>269</v>
      </c>
      <c r="B508" s="65" t="s">
        <v>1966</v>
      </c>
      <c r="C508" s="15" t="s">
        <v>1652</v>
      </c>
      <c r="D508" s="15" t="s">
        <v>1653</v>
      </c>
      <c r="E508" s="15" t="s">
        <v>1175</v>
      </c>
      <c r="F508" s="15" t="s">
        <v>570</v>
      </c>
      <c r="G508" s="18">
        <f>10+99</f>
        <v>109</v>
      </c>
    </row>
    <row r="509" spans="1:7" ht="24.75" hidden="1">
      <c r="A509" s="121" t="s">
        <v>1085</v>
      </c>
      <c r="B509" s="65" t="s">
        <v>1966</v>
      </c>
      <c r="C509" s="15" t="s">
        <v>1652</v>
      </c>
      <c r="D509" s="15" t="s">
        <v>1653</v>
      </c>
      <c r="E509" s="15" t="s">
        <v>1615</v>
      </c>
      <c r="F509" s="15" t="s">
        <v>575</v>
      </c>
      <c r="G509" s="18">
        <f>G510</f>
        <v>0</v>
      </c>
    </row>
    <row r="510" spans="1:7" ht="24.75" hidden="1">
      <c r="A510" s="16" t="s">
        <v>969</v>
      </c>
      <c r="B510" s="65" t="s">
        <v>1966</v>
      </c>
      <c r="C510" s="15" t="s">
        <v>1652</v>
      </c>
      <c r="D510" s="15" t="s">
        <v>1653</v>
      </c>
      <c r="E510" s="15" t="s">
        <v>1615</v>
      </c>
      <c r="F510" s="15" t="s">
        <v>180</v>
      </c>
      <c r="G510" s="18">
        <f>G511</f>
        <v>0</v>
      </c>
    </row>
    <row r="511" spans="1:7" ht="24.75" hidden="1">
      <c r="A511" s="16" t="s">
        <v>1088</v>
      </c>
      <c r="B511" s="65" t="s">
        <v>1966</v>
      </c>
      <c r="C511" s="15" t="s">
        <v>1652</v>
      </c>
      <c r="D511" s="15" t="s">
        <v>1653</v>
      </c>
      <c r="E511" s="15" t="s">
        <v>1615</v>
      </c>
      <c r="F511" s="15" t="s">
        <v>180</v>
      </c>
      <c r="G511" s="18"/>
    </row>
    <row r="512" spans="1:7" ht="15">
      <c r="A512" s="75" t="s">
        <v>1106</v>
      </c>
      <c r="B512" s="51" t="s">
        <v>1966</v>
      </c>
      <c r="C512" s="15" t="s">
        <v>1652</v>
      </c>
      <c r="D512" s="15" t="s">
        <v>439</v>
      </c>
      <c r="E512" s="15"/>
      <c r="F512" s="15"/>
      <c r="G512" s="53">
        <f>G513+G526</f>
        <v>50695.9</v>
      </c>
    </row>
    <row r="513" spans="1:7" ht="15">
      <c r="A513" s="31" t="s">
        <v>669</v>
      </c>
      <c r="B513" s="51" t="s">
        <v>1966</v>
      </c>
      <c r="C513" s="15" t="s">
        <v>1652</v>
      </c>
      <c r="D513" s="15" t="s">
        <v>439</v>
      </c>
      <c r="E513" s="15" t="s">
        <v>1369</v>
      </c>
      <c r="F513" s="15"/>
      <c r="G513" s="18">
        <f>G514+G517+G520+G523</f>
        <v>50209.4</v>
      </c>
    </row>
    <row r="514" spans="1:7" ht="24">
      <c r="A514" s="35" t="s">
        <v>1157</v>
      </c>
      <c r="B514" s="51" t="s">
        <v>1966</v>
      </c>
      <c r="C514" s="15" t="s">
        <v>1652</v>
      </c>
      <c r="D514" s="15" t="s">
        <v>439</v>
      </c>
      <c r="E514" s="15" t="s">
        <v>82</v>
      </c>
      <c r="F514" s="15" t="s">
        <v>575</v>
      </c>
      <c r="G514" s="18">
        <f>G515</f>
        <v>43483.4</v>
      </c>
    </row>
    <row r="515" spans="1:7" ht="24">
      <c r="A515" s="16" t="s">
        <v>1195</v>
      </c>
      <c r="B515" s="51" t="s">
        <v>1966</v>
      </c>
      <c r="C515" s="15" t="s">
        <v>1652</v>
      </c>
      <c r="D515" s="15" t="s">
        <v>439</v>
      </c>
      <c r="E515" s="15" t="s">
        <v>82</v>
      </c>
      <c r="F515" s="15" t="s">
        <v>271</v>
      </c>
      <c r="G515" s="18">
        <f>G516</f>
        <v>43483.4</v>
      </c>
    </row>
    <row r="516" spans="1:7" ht="24">
      <c r="A516" s="16" t="s">
        <v>269</v>
      </c>
      <c r="B516" s="51" t="s">
        <v>1966</v>
      </c>
      <c r="C516" s="15" t="s">
        <v>1652</v>
      </c>
      <c r="D516" s="15" t="s">
        <v>439</v>
      </c>
      <c r="E516" s="15" t="s">
        <v>82</v>
      </c>
      <c r="F516" s="15" t="s">
        <v>570</v>
      </c>
      <c r="G516" s="18">
        <f>43140+0.4+943-600</f>
        <v>43483.4</v>
      </c>
    </row>
    <row r="517" spans="1:7" ht="36">
      <c r="A517" s="35" t="s">
        <v>11</v>
      </c>
      <c r="B517" s="51" t="s">
        <v>1966</v>
      </c>
      <c r="C517" s="15" t="s">
        <v>1652</v>
      </c>
      <c r="D517" s="15" t="s">
        <v>439</v>
      </c>
      <c r="E517" s="15" t="s">
        <v>1095</v>
      </c>
      <c r="F517" s="15" t="s">
        <v>575</v>
      </c>
      <c r="G517" s="18">
        <f>G518</f>
        <v>621</v>
      </c>
    </row>
    <row r="518" spans="1:7" ht="24">
      <c r="A518" s="16" t="s">
        <v>1195</v>
      </c>
      <c r="B518" s="51" t="s">
        <v>1966</v>
      </c>
      <c r="C518" s="15" t="s">
        <v>1652</v>
      </c>
      <c r="D518" s="15" t="s">
        <v>439</v>
      </c>
      <c r="E518" s="15" t="s">
        <v>1095</v>
      </c>
      <c r="F518" s="15" t="s">
        <v>271</v>
      </c>
      <c r="G518" s="18">
        <f>G519</f>
        <v>621</v>
      </c>
    </row>
    <row r="519" spans="1:7" ht="24">
      <c r="A519" s="16" t="s">
        <v>269</v>
      </c>
      <c r="B519" s="51" t="s">
        <v>1966</v>
      </c>
      <c r="C519" s="15" t="s">
        <v>1652</v>
      </c>
      <c r="D519" s="15" t="s">
        <v>439</v>
      </c>
      <c r="E519" s="15" t="s">
        <v>1095</v>
      </c>
      <c r="F519" s="15" t="s">
        <v>570</v>
      </c>
      <c r="G519" s="18">
        <v>621</v>
      </c>
    </row>
    <row r="520" spans="1:7" ht="24">
      <c r="A520" s="16" t="s">
        <v>1043</v>
      </c>
      <c r="B520" s="51" t="s">
        <v>1966</v>
      </c>
      <c r="C520" s="15" t="s">
        <v>1652</v>
      </c>
      <c r="D520" s="15" t="s">
        <v>439</v>
      </c>
      <c r="E520" s="15" t="s">
        <v>1096</v>
      </c>
      <c r="F520" s="15" t="s">
        <v>575</v>
      </c>
      <c r="G520" s="18">
        <f>G521</f>
        <v>600</v>
      </c>
    </row>
    <row r="521" spans="1:7" ht="24">
      <c r="A521" s="16" t="s">
        <v>1195</v>
      </c>
      <c r="B521" s="51" t="s">
        <v>1966</v>
      </c>
      <c r="C521" s="15" t="s">
        <v>1652</v>
      </c>
      <c r="D521" s="15" t="s">
        <v>439</v>
      </c>
      <c r="E521" s="15" t="s">
        <v>1096</v>
      </c>
      <c r="F521" s="15" t="s">
        <v>271</v>
      </c>
      <c r="G521" s="18">
        <f>G522</f>
        <v>600</v>
      </c>
    </row>
    <row r="522" spans="1:7" ht="24">
      <c r="A522" s="16" t="s">
        <v>269</v>
      </c>
      <c r="B522" s="51" t="s">
        <v>1966</v>
      </c>
      <c r="C522" s="15" t="s">
        <v>1652</v>
      </c>
      <c r="D522" s="15" t="s">
        <v>439</v>
      </c>
      <c r="E522" s="15" t="s">
        <v>1096</v>
      </c>
      <c r="F522" s="15" t="s">
        <v>570</v>
      </c>
      <c r="G522" s="18">
        <v>600</v>
      </c>
    </row>
    <row r="523" spans="1:7" ht="24">
      <c r="A523" s="16" t="s">
        <v>2002</v>
      </c>
      <c r="B523" s="51" t="s">
        <v>1966</v>
      </c>
      <c r="C523" s="15" t="s">
        <v>1652</v>
      </c>
      <c r="D523" s="15" t="s">
        <v>439</v>
      </c>
      <c r="E523" s="15" t="s">
        <v>977</v>
      </c>
      <c r="F523" s="15" t="s">
        <v>575</v>
      </c>
      <c r="G523" s="18">
        <f>G524</f>
        <v>5505</v>
      </c>
    </row>
    <row r="524" spans="1:7" ht="24">
      <c r="A524" s="16" t="s">
        <v>1195</v>
      </c>
      <c r="B524" s="51" t="s">
        <v>1966</v>
      </c>
      <c r="C524" s="15" t="s">
        <v>1652</v>
      </c>
      <c r="D524" s="15" t="s">
        <v>439</v>
      </c>
      <c r="E524" s="15" t="s">
        <v>977</v>
      </c>
      <c r="F524" s="15" t="s">
        <v>271</v>
      </c>
      <c r="G524" s="18">
        <f>G525</f>
        <v>5505</v>
      </c>
    </row>
    <row r="525" spans="1:7" ht="24">
      <c r="A525" s="16" t="s">
        <v>269</v>
      </c>
      <c r="B525" s="51" t="s">
        <v>1966</v>
      </c>
      <c r="C525" s="15" t="s">
        <v>1652</v>
      </c>
      <c r="D525" s="15" t="s">
        <v>439</v>
      </c>
      <c r="E525" s="15" t="s">
        <v>977</v>
      </c>
      <c r="F525" s="15" t="s">
        <v>570</v>
      </c>
      <c r="G525" s="18">
        <f>112+5000+393</f>
        <v>5505</v>
      </c>
    </row>
    <row r="526" spans="1:7" ht="15">
      <c r="A526" s="31" t="s">
        <v>1664</v>
      </c>
      <c r="B526" s="51" t="s">
        <v>1966</v>
      </c>
      <c r="C526" s="15" t="s">
        <v>1652</v>
      </c>
      <c r="D526" s="15" t="s">
        <v>439</v>
      </c>
      <c r="E526" s="15" t="s">
        <v>1663</v>
      </c>
      <c r="F526" s="15"/>
      <c r="G526" s="18">
        <f>G527</f>
        <v>486.5</v>
      </c>
    </row>
    <row r="527" spans="1:7" ht="24">
      <c r="A527" s="121" t="s">
        <v>1085</v>
      </c>
      <c r="B527" s="51" t="s">
        <v>1966</v>
      </c>
      <c r="C527" s="15" t="s">
        <v>1652</v>
      </c>
      <c r="D527" s="15" t="s">
        <v>439</v>
      </c>
      <c r="E527" s="52" t="s">
        <v>1615</v>
      </c>
      <c r="F527" s="52" t="s">
        <v>575</v>
      </c>
      <c r="G527" s="18">
        <f>G528</f>
        <v>486.5</v>
      </c>
    </row>
    <row r="528" spans="1:7" ht="24">
      <c r="A528" s="16" t="s">
        <v>270</v>
      </c>
      <c r="B528" s="51" t="s">
        <v>1966</v>
      </c>
      <c r="C528" s="15" t="s">
        <v>1652</v>
      </c>
      <c r="D528" s="15" t="s">
        <v>439</v>
      </c>
      <c r="E528" s="52" t="s">
        <v>1615</v>
      </c>
      <c r="F528" s="52" t="s">
        <v>271</v>
      </c>
      <c r="G528" s="18">
        <f>G529</f>
        <v>486.5</v>
      </c>
    </row>
    <row r="529" spans="1:7" ht="24">
      <c r="A529" s="16" t="s">
        <v>969</v>
      </c>
      <c r="B529" s="51" t="s">
        <v>1966</v>
      </c>
      <c r="C529" s="15" t="s">
        <v>1652</v>
      </c>
      <c r="D529" s="15" t="s">
        <v>439</v>
      </c>
      <c r="E529" s="52" t="s">
        <v>1615</v>
      </c>
      <c r="F529" s="52" t="s">
        <v>180</v>
      </c>
      <c r="G529" s="18">
        <f>G530+G531+G532</f>
        <v>486.5</v>
      </c>
    </row>
    <row r="530" spans="1:7" ht="24">
      <c r="A530" s="16" t="s">
        <v>1478</v>
      </c>
      <c r="B530" s="51" t="s">
        <v>1966</v>
      </c>
      <c r="C530" s="15" t="s">
        <v>1652</v>
      </c>
      <c r="D530" s="15" t="s">
        <v>439</v>
      </c>
      <c r="E530" s="52" t="s">
        <v>1615</v>
      </c>
      <c r="F530" s="52" t="s">
        <v>180</v>
      </c>
      <c r="G530" s="18">
        <v>286.5</v>
      </c>
    </row>
    <row r="531" spans="1:7" ht="24">
      <c r="A531" s="16" t="s">
        <v>1934</v>
      </c>
      <c r="B531" s="51" t="s">
        <v>1966</v>
      </c>
      <c r="C531" s="15" t="s">
        <v>1652</v>
      </c>
      <c r="D531" s="15" t="s">
        <v>439</v>
      </c>
      <c r="E531" s="52" t="s">
        <v>1615</v>
      </c>
      <c r="F531" s="52" t="s">
        <v>180</v>
      </c>
      <c r="G531" s="18">
        <v>200</v>
      </c>
    </row>
    <row r="532" spans="1:7" ht="24.75" hidden="1">
      <c r="A532" s="16" t="s">
        <v>652</v>
      </c>
      <c r="B532" s="51" t="s">
        <v>1966</v>
      </c>
      <c r="C532" s="15" t="s">
        <v>1652</v>
      </c>
      <c r="D532" s="15" t="s">
        <v>439</v>
      </c>
      <c r="E532" s="52" t="s">
        <v>1615</v>
      </c>
      <c r="F532" s="52" t="s">
        <v>180</v>
      </c>
      <c r="G532" s="18">
        <f>11.9-11.9</f>
        <v>0</v>
      </c>
    </row>
    <row r="533" spans="1:7" ht="24">
      <c r="A533" s="75" t="s">
        <v>115</v>
      </c>
      <c r="B533" s="51" t="s">
        <v>1966</v>
      </c>
      <c r="C533" s="15" t="s">
        <v>1652</v>
      </c>
      <c r="D533" s="15" t="s">
        <v>1647</v>
      </c>
      <c r="E533" s="15"/>
      <c r="F533" s="15"/>
      <c r="G533" s="18">
        <f>G534+G547</f>
        <v>11327.2</v>
      </c>
    </row>
    <row r="534" spans="1:7" ht="18.75" customHeight="1">
      <c r="A534" s="31" t="s">
        <v>1089</v>
      </c>
      <c r="B534" s="51" t="s">
        <v>1966</v>
      </c>
      <c r="C534" s="15" t="s">
        <v>1652</v>
      </c>
      <c r="D534" s="15" t="s">
        <v>1647</v>
      </c>
      <c r="E534" s="15" t="s">
        <v>117</v>
      </c>
      <c r="F534" s="15" t="s">
        <v>575</v>
      </c>
      <c r="G534" s="18">
        <f>G535+G538+G541+G544</f>
        <v>11207.2</v>
      </c>
    </row>
    <row r="535" spans="1:7" ht="30" customHeight="1">
      <c r="A535" s="35" t="s">
        <v>576</v>
      </c>
      <c r="B535" s="51" t="s">
        <v>1966</v>
      </c>
      <c r="C535" s="15" t="s">
        <v>1652</v>
      </c>
      <c r="D535" s="15" t="s">
        <v>1647</v>
      </c>
      <c r="E535" s="15" t="s">
        <v>1097</v>
      </c>
      <c r="F535" s="15" t="s">
        <v>575</v>
      </c>
      <c r="G535" s="18">
        <f>G536</f>
        <v>9865.2</v>
      </c>
    </row>
    <row r="536" spans="1:7" ht="18.75" customHeight="1">
      <c r="A536" s="16" t="s">
        <v>1195</v>
      </c>
      <c r="B536" s="51" t="s">
        <v>1966</v>
      </c>
      <c r="C536" s="15" t="s">
        <v>1652</v>
      </c>
      <c r="D536" s="15" t="s">
        <v>1647</v>
      </c>
      <c r="E536" s="15" t="s">
        <v>1097</v>
      </c>
      <c r="F536" s="15" t="s">
        <v>271</v>
      </c>
      <c r="G536" s="18">
        <f>G537</f>
        <v>9865.2</v>
      </c>
    </row>
    <row r="537" spans="1:7" ht="21" customHeight="1">
      <c r="A537" s="16" t="s">
        <v>269</v>
      </c>
      <c r="B537" s="51" t="s">
        <v>1966</v>
      </c>
      <c r="C537" s="15" t="s">
        <v>1652</v>
      </c>
      <c r="D537" s="15" t="s">
        <v>1647</v>
      </c>
      <c r="E537" s="15" t="s">
        <v>1097</v>
      </c>
      <c r="F537" s="15" t="s">
        <v>570</v>
      </c>
      <c r="G537" s="18">
        <f>9553+83.2+229</f>
        <v>9865.2</v>
      </c>
    </row>
    <row r="538" spans="1:7" ht="37.5" customHeight="1">
      <c r="A538" s="35" t="s">
        <v>577</v>
      </c>
      <c r="B538" s="51" t="s">
        <v>1966</v>
      </c>
      <c r="C538" s="15" t="s">
        <v>1652</v>
      </c>
      <c r="D538" s="15" t="s">
        <v>1647</v>
      </c>
      <c r="E538" s="15" t="s">
        <v>1098</v>
      </c>
      <c r="F538" s="15" t="s">
        <v>575</v>
      </c>
      <c r="G538" s="18">
        <f>G539</f>
        <v>1036</v>
      </c>
    </row>
    <row r="539" spans="1:7" ht="18.75" customHeight="1">
      <c r="A539" s="16" t="s">
        <v>1195</v>
      </c>
      <c r="B539" s="51" t="s">
        <v>1966</v>
      </c>
      <c r="C539" s="15" t="s">
        <v>1652</v>
      </c>
      <c r="D539" s="15" t="s">
        <v>1647</v>
      </c>
      <c r="E539" s="15" t="s">
        <v>1098</v>
      </c>
      <c r="F539" s="15" t="s">
        <v>271</v>
      </c>
      <c r="G539" s="18">
        <f>G540</f>
        <v>1036</v>
      </c>
    </row>
    <row r="540" spans="1:7" ht="24.75" customHeight="1">
      <c r="A540" s="16" t="s">
        <v>269</v>
      </c>
      <c r="B540" s="51" t="s">
        <v>1966</v>
      </c>
      <c r="C540" s="15" t="s">
        <v>1652</v>
      </c>
      <c r="D540" s="15" t="s">
        <v>1647</v>
      </c>
      <c r="E540" s="15" t="s">
        <v>1098</v>
      </c>
      <c r="F540" s="15" t="s">
        <v>570</v>
      </c>
      <c r="G540" s="18">
        <v>1036</v>
      </c>
    </row>
    <row r="541" spans="1:7" ht="24.75" customHeight="1">
      <c r="A541" s="16" t="s">
        <v>672</v>
      </c>
      <c r="B541" s="51" t="s">
        <v>1966</v>
      </c>
      <c r="C541" s="15" t="s">
        <v>1652</v>
      </c>
      <c r="D541" s="15" t="s">
        <v>1647</v>
      </c>
      <c r="E541" s="15" t="s">
        <v>1099</v>
      </c>
      <c r="F541" s="15" t="s">
        <v>575</v>
      </c>
      <c r="G541" s="18">
        <f>G542</f>
        <v>300</v>
      </c>
    </row>
    <row r="542" spans="1:7" ht="18.75" customHeight="1">
      <c r="A542" s="16" t="s">
        <v>1195</v>
      </c>
      <c r="B542" s="51" t="s">
        <v>1966</v>
      </c>
      <c r="C542" s="15" t="s">
        <v>1652</v>
      </c>
      <c r="D542" s="15" t="s">
        <v>1647</v>
      </c>
      <c r="E542" s="15" t="s">
        <v>1099</v>
      </c>
      <c r="F542" s="15" t="s">
        <v>271</v>
      </c>
      <c r="G542" s="18">
        <v>300</v>
      </c>
    </row>
    <row r="543" spans="1:7" ht="25.5" customHeight="1">
      <c r="A543" s="16" t="s">
        <v>269</v>
      </c>
      <c r="B543" s="51" t="s">
        <v>1966</v>
      </c>
      <c r="C543" s="15" t="s">
        <v>1652</v>
      </c>
      <c r="D543" s="15" t="s">
        <v>1647</v>
      </c>
      <c r="E543" s="15" t="s">
        <v>1099</v>
      </c>
      <c r="F543" s="15" t="s">
        <v>570</v>
      </c>
      <c r="G543" s="18">
        <v>300</v>
      </c>
    </row>
    <row r="544" spans="1:7" ht="18.75" customHeight="1">
      <c r="A544" s="35" t="s">
        <v>2002</v>
      </c>
      <c r="B544" s="51" t="s">
        <v>1966</v>
      </c>
      <c r="C544" s="15" t="s">
        <v>1652</v>
      </c>
      <c r="D544" s="15" t="s">
        <v>1647</v>
      </c>
      <c r="E544" s="15" t="s">
        <v>118</v>
      </c>
      <c r="F544" s="15" t="s">
        <v>575</v>
      </c>
      <c r="G544" s="18">
        <f>G545</f>
        <v>6</v>
      </c>
    </row>
    <row r="545" spans="1:7" ht="18.75" customHeight="1">
      <c r="A545" s="16" t="s">
        <v>1195</v>
      </c>
      <c r="B545" s="51" t="s">
        <v>1966</v>
      </c>
      <c r="C545" s="15" t="s">
        <v>1652</v>
      </c>
      <c r="D545" s="15" t="s">
        <v>1647</v>
      </c>
      <c r="E545" s="15" t="s">
        <v>118</v>
      </c>
      <c r="F545" s="15" t="s">
        <v>271</v>
      </c>
      <c r="G545" s="18">
        <f>G546</f>
        <v>6</v>
      </c>
    </row>
    <row r="546" spans="1:7" ht="24">
      <c r="A546" s="16" t="s">
        <v>269</v>
      </c>
      <c r="B546" s="51" t="s">
        <v>1966</v>
      </c>
      <c r="C546" s="15" t="s">
        <v>1652</v>
      </c>
      <c r="D546" s="15" t="s">
        <v>1647</v>
      </c>
      <c r="E546" s="15" t="s">
        <v>118</v>
      </c>
      <c r="F546" s="15" t="s">
        <v>570</v>
      </c>
      <c r="G546" s="18">
        <v>6</v>
      </c>
    </row>
    <row r="547" spans="1:7" ht="15">
      <c r="A547" s="16" t="s">
        <v>1664</v>
      </c>
      <c r="B547" s="51" t="s">
        <v>1966</v>
      </c>
      <c r="C547" s="15" t="s">
        <v>1652</v>
      </c>
      <c r="D547" s="15" t="s">
        <v>1647</v>
      </c>
      <c r="E547" s="15" t="s">
        <v>1663</v>
      </c>
      <c r="F547" s="15"/>
      <c r="G547" s="18">
        <f>G548</f>
        <v>120</v>
      </c>
    </row>
    <row r="548" spans="1:7" ht="24">
      <c r="A548" s="121" t="s">
        <v>1085</v>
      </c>
      <c r="B548" s="51" t="s">
        <v>1966</v>
      </c>
      <c r="C548" s="15" t="s">
        <v>1652</v>
      </c>
      <c r="D548" s="15" t="s">
        <v>1647</v>
      </c>
      <c r="E548" s="15" t="s">
        <v>1615</v>
      </c>
      <c r="F548" s="15" t="s">
        <v>575</v>
      </c>
      <c r="G548" s="18">
        <f>G549</f>
        <v>120</v>
      </c>
    </row>
    <row r="549" spans="1:7" ht="24">
      <c r="A549" s="16" t="s">
        <v>969</v>
      </c>
      <c r="B549" s="51" t="s">
        <v>1966</v>
      </c>
      <c r="C549" s="15" t="s">
        <v>1652</v>
      </c>
      <c r="D549" s="15" t="s">
        <v>1647</v>
      </c>
      <c r="E549" s="15" t="s">
        <v>1615</v>
      </c>
      <c r="F549" s="39" t="s">
        <v>180</v>
      </c>
      <c r="G549" s="18">
        <f>G550+G551</f>
        <v>120</v>
      </c>
    </row>
    <row r="550" spans="1:7" ht="24">
      <c r="A550" s="16" t="s">
        <v>739</v>
      </c>
      <c r="B550" s="51" t="s">
        <v>1966</v>
      </c>
      <c r="C550" s="15" t="s">
        <v>1652</v>
      </c>
      <c r="D550" s="15" t="s">
        <v>1647</v>
      </c>
      <c r="E550" s="15" t="s">
        <v>1615</v>
      </c>
      <c r="F550" s="39" t="s">
        <v>180</v>
      </c>
      <c r="G550" s="18">
        <v>120</v>
      </c>
    </row>
    <row r="551" spans="1:7" ht="24.75" hidden="1">
      <c r="A551" s="16" t="s">
        <v>369</v>
      </c>
      <c r="B551" s="51" t="s">
        <v>1966</v>
      </c>
      <c r="C551" s="15" t="s">
        <v>1652</v>
      </c>
      <c r="D551" s="15" t="s">
        <v>1647</v>
      </c>
      <c r="E551" s="15" t="s">
        <v>1615</v>
      </c>
      <c r="F551" s="39" t="s">
        <v>180</v>
      </c>
      <c r="G551" s="18"/>
    </row>
    <row r="552" spans="1:7" ht="15">
      <c r="A552" s="194" t="s">
        <v>753</v>
      </c>
      <c r="B552" s="51" t="s">
        <v>1966</v>
      </c>
      <c r="C552" s="15" t="s">
        <v>1652</v>
      </c>
      <c r="D552" s="15" t="s">
        <v>1652</v>
      </c>
      <c r="E552" s="15"/>
      <c r="F552" s="15"/>
      <c r="G552" s="18">
        <f>G553+G566+G572</f>
        <v>32789.9</v>
      </c>
    </row>
    <row r="553" spans="1:7" ht="36">
      <c r="A553" s="30" t="s">
        <v>1542</v>
      </c>
      <c r="B553" s="51" t="s">
        <v>1966</v>
      </c>
      <c r="C553" s="15" t="s">
        <v>1652</v>
      </c>
      <c r="D553" s="15" t="s">
        <v>1652</v>
      </c>
      <c r="E553" s="15" t="s">
        <v>1543</v>
      </c>
      <c r="F553" s="39"/>
      <c r="G553" s="18">
        <f>G554+G564</f>
        <v>13143.699999999999</v>
      </c>
    </row>
    <row r="554" spans="1:7" ht="24">
      <c r="A554" s="16" t="s">
        <v>500</v>
      </c>
      <c r="B554" s="51" t="s">
        <v>1966</v>
      </c>
      <c r="C554" s="15" t="s">
        <v>1652</v>
      </c>
      <c r="D554" s="15" t="s">
        <v>1652</v>
      </c>
      <c r="E554" s="15" t="s">
        <v>229</v>
      </c>
      <c r="F554" s="39" t="s">
        <v>575</v>
      </c>
      <c r="G554" s="18">
        <f>G555+G556+G560+G561+G562+G563</f>
        <v>13123.8</v>
      </c>
    </row>
    <row r="555" spans="1:7" ht="24">
      <c r="A555" s="16" t="s">
        <v>382</v>
      </c>
      <c r="B555" s="51" t="s">
        <v>1966</v>
      </c>
      <c r="C555" s="15" t="s">
        <v>1652</v>
      </c>
      <c r="D555" s="15" t="s">
        <v>1652</v>
      </c>
      <c r="E555" s="15" t="s">
        <v>229</v>
      </c>
      <c r="F555" s="39" t="s">
        <v>383</v>
      </c>
      <c r="G555" s="18">
        <v>8177.9</v>
      </c>
    </row>
    <row r="556" spans="1:7" ht="24">
      <c r="A556" s="35" t="s">
        <v>528</v>
      </c>
      <c r="B556" s="51" t="s">
        <v>1966</v>
      </c>
      <c r="C556" s="15" t="s">
        <v>1652</v>
      </c>
      <c r="D556" s="15" t="s">
        <v>1652</v>
      </c>
      <c r="E556" s="15" t="s">
        <v>229</v>
      </c>
      <c r="F556" s="39" t="s">
        <v>1644</v>
      </c>
      <c r="G556" s="18">
        <f>G557+G558+G559</f>
        <v>830.8</v>
      </c>
    </row>
    <row r="557" spans="1:7" ht="24">
      <c r="A557" s="16" t="s">
        <v>848</v>
      </c>
      <c r="B557" s="51" t="s">
        <v>1966</v>
      </c>
      <c r="C557" s="15" t="s">
        <v>1652</v>
      </c>
      <c r="D557" s="15" t="s">
        <v>1652</v>
      </c>
      <c r="E557" s="15" t="s">
        <v>229</v>
      </c>
      <c r="F557" s="39" t="s">
        <v>846</v>
      </c>
      <c r="G557" s="18">
        <f>13+175+16</f>
        <v>204</v>
      </c>
    </row>
    <row r="558" spans="1:7" ht="24">
      <c r="A558" s="35" t="s">
        <v>95</v>
      </c>
      <c r="B558" s="51" t="s">
        <v>1966</v>
      </c>
      <c r="C558" s="15" t="s">
        <v>1652</v>
      </c>
      <c r="D558" s="15" t="s">
        <v>1652</v>
      </c>
      <c r="E558" s="15" t="s">
        <v>229</v>
      </c>
      <c r="F558" s="39" t="s">
        <v>699</v>
      </c>
      <c r="G558" s="18">
        <v>100</v>
      </c>
    </row>
    <row r="559" spans="1:7" ht="24">
      <c r="A559" s="35" t="s">
        <v>1535</v>
      </c>
      <c r="B559" s="51" t="s">
        <v>1966</v>
      </c>
      <c r="C559" s="15" t="s">
        <v>1652</v>
      </c>
      <c r="D559" s="15" t="s">
        <v>1652</v>
      </c>
      <c r="E559" s="15" t="s">
        <v>229</v>
      </c>
      <c r="F559" s="39" t="s">
        <v>1536</v>
      </c>
      <c r="G559" s="18">
        <f>352.8+90+50+50-16</f>
        <v>526.8</v>
      </c>
    </row>
    <row r="560" spans="1:7" ht="24">
      <c r="A560" s="35" t="s">
        <v>1020</v>
      </c>
      <c r="B560" s="51" t="s">
        <v>1966</v>
      </c>
      <c r="C560" s="15" t="s">
        <v>1652</v>
      </c>
      <c r="D560" s="15" t="s">
        <v>1652</v>
      </c>
      <c r="E560" s="15" t="s">
        <v>229</v>
      </c>
      <c r="F560" s="39" t="s">
        <v>1021</v>
      </c>
      <c r="G560" s="18">
        <v>0.1</v>
      </c>
    </row>
    <row r="561" spans="1:7" ht="24">
      <c r="A561" s="16" t="s">
        <v>382</v>
      </c>
      <c r="B561" s="51" t="s">
        <v>1966</v>
      </c>
      <c r="C561" s="15" t="s">
        <v>1652</v>
      </c>
      <c r="D561" s="15" t="s">
        <v>1652</v>
      </c>
      <c r="E561" s="15" t="s">
        <v>578</v>
      </c>
      <c r="F561" s="39" t="s">
        <v>383</v>
      </c>
      <c r="G561" s="18">
        <v>4088</v>
      </c>
    </row>
    <row r="562" spans="1:7" ht="24.75" hidden="1">
      <c r="A562" s="16" t="s">
        <v>848</v>
      </c>
      <c r="B562" s="51" t="s">
        <v>1966</v>
      </c>
      <c r="C562" s="15" t="s">
        <v>1652</v>
      </c>
      <c r="D562" s="15" t="s">
        <v>1652</v>
      </c>
      <c r="E562" s="15" t="s">
        <v>578</v>
      </c>
      <c r="F562" s="39" t="s">
        <v>846</v>
      </c>
      <c r="G562" s="18">
        <v>0</v>
      </c>
    </row>
    <row r="563" spans="1:7" ht="24">
      <c r="A563" s="35" t="s">
        <v>1535</v>
      </c>
      <c r="B563" s="51" t="s">
        <v>1966</v>
      </c>
      <c r="C563" s="15" t="s">
        <v>1652</v>
      </c>
      <c r="D563" s="15" t="s">
        <v>1652</v>
      </c>
      <c r="E563" s="15" t="s">
        <v>578</v>
      </c>
      <c r="F563" s="39" t="s">
        <v>1536</v>
      </c>
      <c r="G563" s="18">
        <v>27</v>
      </c>
    </row>
    <row r="564" spans="1:7" ht="24">
      <c r="A564" s="16" t="s">
        <v>1665</v>
      </c>
      <c r="B564" s="51" t="s">
        <v>1966</v>
      </c>
      <c r="C564" s="15" t="s">
        <v>1652</v>
      </c>
      <c r="D564" s="15" t="s">
        <v>1652</v>
      </c>
      <c r="E564" s="15" t="s">
        <v>1635</v>
      </c>
      <c r="F564" s="39" t="s">
        <v>575</v>
      </c>
      <c r="G564" s="18">
        <f>G565</f>
        <v>19.9</v>
      </c>
    </row>
    <row r="565" spans="1:7" ht="24">
      <c r="A565" s="16" t="s">
        <v>1665</v>
      </c>
      <c r="B565" s="51" t="s">
        <v>1966</v>
      </c>
      <c r="C565" s="15" t="s">
        <v>1652</v>
      </c>
      <c r="D565" s="15" t="s">
        <v>1652</v>
      </c>
      <c r="E565" s="15" t="s">
        <v>1635</v>
      </c>
      <c r="F565" s="39" t="s">
        <v>1066</v>
      </c>
      <c r="G565" s="18">
        <f>20-0.1</f>
        <v>19.9</v>
      </c>
    </row>
    <row r="566" spans="1:7" ht="52.5" customHeight="1">
      <c r="A566" s="31" t="s">
        <v>1887</v>
      </c>
      <c r="B566" s="51" t="s">
        <v>1966</v>
      </c>
      <c r="C566" s="15" t="s">
        <v>1652</v>
      </c>
      <c r="D566" s="15" t="s">
        <v>1652</v>
      </c>
      <c r="E566" s="15" t="s">
        <v>2006</v>
      </c>
      <c r="F566" s="39"/>
      <c r="G566" s="18">
        <f>G567</f>
        <v>18796.2</v>
      </c>
    </row>
    <row r="567" spans="1:7" ht="24">
      <c r="A567" s="118" t="s">
        <v>2002</v>
      </c>
      <c r="B567" s="51" t="s">
        <v>1966</v>
      </c>
      <c r="C567" s="15" t="s">
        <v>1652</v>
      </c>
      <c r="D567" s="15" t="s">
        <v>1652</v>
      </c>
      <c r="E567" s="15" t="s">
        <v>594</v>
      </c>
      <c r="F567" s="39" t="s">
        <v>575</v>
      </c>
      <c r="G567" s="18">
        <f>G568</f>
        <v>18796.2</v>
      </c>
    </row>
    <row r="568" spans="1:7" ht="24">
      <c r="A568" s="16" t="s">
        <v>1195</v>
      </c>
      <c r="B568" s="51" t="s">
        <v>1966</v>
      </c>
      <c r="C568" s="15" t="s">
        <v>1652</v>
      </c>
      <c r="D568" s="15" t="s">
        <v>1652</v>
      </c>
      <c r="E568" s="15" t="s">
        <v>594</v>
      </c>
      <c r="F568" s="39" t="s">
        <v>271</v>
      </c>
      <c r="G568" s="18">
        <f>G569+G570</f>
        <v>18796.2</v>
      </c>
    </row>
    <row r="569" spans="1:7" ht="24">
      <c r="A569" s="16" t="s">
        <v>269</v>
      </c>
      <c r="B569" s="51" t="s">
        <v>1966</v>
      </c>
      <c r="C569" s="15" t="s">
        <v>1652</v>
      </c>
      <c r="D569" s="15" t="s">
        <v>1652</v>
      </c>
      <c r="E569" s="15" t="s">
        <v>594</v>
      </c>
      <c r="F569" s="39" t="s">
        <v>570</v>
      </c>
      <c r="G569" s="18">
        <f>17790+202+180+308.7+140.5+175</f>
        <v>18796.2</v>
      </c>
    </row>
    <row r="570" spans="1:7" ht="24.75" hidden="1">
      <c r="A570" s="16" t="s">
        <v>466</v>
      </c>
      <c r="B570" s="51" t="s">
        <v>1966</v>
      </c>
      <c r="C570" s="15" t="s">
        <v>1652</v>
      </c>
      <c r="D570" s="15" t="s">
        <v>1652</v>
      </c>
      <c r="E570" s="15" t="s">
        <v>594</v>
      </c>
      <c r="F570" s="39" t="s">
        <v>180</v>
      </c>
      <c r="G570" s="18">
        <f>G571</f>
        <v>0</v>
      </c>
    </row>
    <row r="571" spans="1:7" ht="24.75" hidden="1">
      <c r="A571" s="16" t="s">
        <v>773</v>
      </c>
      <c r="B571" s="51" t="s">
        <v>1966</v>
      </c>
      <c r="C571" s="15" t="s">
        <v>1652</v>
      </c>
      <c r="D571" s="15" t="s">
        <v>1652</v>
      </c>
      <c r="E571" s="15" t="s">
        <v>594</v>
      </c>
      <c r="F571" s="39" t="s">
        <v>180</v>
      </c>
      <c r="G571" s="18">
        <v>0</v>
      </c>
    </row>
    <row r="572" spans="1:7" ht="15.75" customHeight="1">
      <c r="A572" s="31" t="s">
        <v>1664</v>
      </c>
      <c r="B572" s="51" t="s">
        <v>1966</v>
      </c>
      <c r="C572" s="15" t="s">
        <v>1652</v>
      </c>
      <c r="D572" s="15" t="s">
        <v>1652</v>
      </c>
      <c r="E572" s="15" t="s">
        <v>1663</v>
      </c>
      <c r="F572" s="39"/>
      <c r="G572" s="18">
        <f>G573</f>
        <v>850</v>
      </c>
    </row>
    <row r="573" spans="1:7" ht="28.5" customHeight="1">
      <c r="A573" s="121" t="s">
        <v>1085</v>
      </c>
      <c r="B573" s="51" t="s">
        <v>1966</v>
      </c>
      <c r="C573" s="15" t="s">
        <v>1652</v>
      </c>
      <c r="D573" s="15" t="s">
        <v>1652</v>
      </c>
      <c r="E573" s="15" t="s">
        <v>1615</v>
      </c>
      <c r="F573" s="39" t="s">
        <v>575</v>
      </c>
      <c r="G573" s="18">
        <f>G574</f>
        <v>850</v>
      </c>
    </row>
    <row r="574" spans="1:7" ht="20.25" customHeight="1">
      <c r="A574" s="16" t="s">
        <v>466</v>
      </c>
      <c r="B574" s="51" t="s">
        <v>1966</v>
      </c>
      <c r="C574" s="15" t="s">
        <v>1652</v>
      </c>
      <c r="D574" s="15" t="s">
        <v>1652</v>
      </c>
      <c r="E574" s="15" t="s">
        <v>1615</v>
      </c>
      <c r="F574" s="39" t="s">
        <v>180</v>
      </c>
      <c r="G574" s="18">
        <f>G575+G576</f>
        <v>850</v>
      </c>
    </row>
    <row r="575" spans="1:7" ht="18.75" customHeight="1">
      <c r="A575" s="16" t="s">
        <v>369</v>
      </c>
      <c r="B575" s="51" t="s">
        <v>1966</v>
      </c>
      <c r="C575" s="15" t="s">
        <v>1652</v>
      </c>
      <c r="D575" s="15" t="s">
        <v>1652</v>
      </c>
      <c r="E575" s="15" t="s">
        <v>1615</v>
      </c>
      <c r="F575" s="39" t="s">
        <v>180</v>
      </c>
      <c r="G575" s="18">
        <v>400</v>
      </c>
    </row>
    <row r="576" spans="1:7" ht="18.75" customHeight="1">
      <c r="A576" s="16" t="s">
        <v>1477</v>
      </c>
      <c r="B576" s="51" t="s">
        <v>1966</v>
      </c>
      <c r="C576" s="15" t="s">
        <v>1652</v>
      </c>
      <c r="D576" s="15" t="s">
        <v>1652</v>
      </c>
      <c r="E576" s="15" t="s">
        <v>1615</v>
      </c>
      <c r="F576" s="39" t="s">
        <v>180</v>
      </c>
      <c r="G576" s="18">
        <f>100+350</f>
        <v>450</v>
      </c>
    </row>
    <row r="577" spans="1:7" ht="18.75" customHeight="1">
      <c r="A577" s="190" t="s">
        <v>1967</v>
      </c>
      <c r="B577" s="49" t="s">
        <v>1968</v>
      </c>
      <c r="C577" s="49"/>
      <c r="D577" s="49"/>
      <c r="E577" s="49"/>
      <c r="F577" s="49"/>
      <c r="G577" s="50">
        <f>G582+G586+G595+G677+G789</f>
        <v>590201</v>
      </c>
    </row>
    <row r="578" spans="1:7" ht="26.25" customHeight="1" hidden="1">
      <c r="A578" s="59" t="s">
        <v>1642</v>
      </c>
      <c r="B578" s="51" t="s">
        <v>1968</v>
      </c>
      <c r="C578" s="52" t="s">
        <v>1653</v>
      </c>
      <c r="D578" s="52"/>
      <c r="E578" s="52"/>
      <c r="F578" s="52"/>
      <c r="G578" s="18">
        <f>G579</f>
        <v>0</v>
      </c>
    </row>
    <row r="579" spans="1:7" ht="30" customHeight="1" hidden="1">
      <c r="A579" s="29" t="s">
        <v>96</v>
      </c>
      <c r="B579" s="51" t="s">
        <v>1968</v>
      </c>
      <c r="C579" s="15" t="s">
        <v>1653</v>
      </c>
      <c r="D579" s="15" t="s">
        <v>714</v>
      </c>
      <c r="E579" s="15"/>
      <c r="F579" s="15"/>
      <c r="G579" s="18">
        <f>G580</f>
        <v>0</v>
      </c>
    </row>
    <row r="580" spans="1:7" ht="22.5" customHeight="1" hidden="1">
      <c r="A580" s="31" t="s">
        <v>455</v>
      </c>
      <c r="B580" s="51" t="s">
        <v>1968</v>
      </c>
      <c r="C580" s="15" t="s">
        <v>1653</v>
      </c>
      <c r="D580" s="15" t="s">
        <v>714</v>
      </c>
      <c r="E580" s="15" t="s">
        <v>1531</v>
      </c>
      <c r="F580" s="15"/>
      <c r="G580" s="18">
        <f>G581</f>
        <v>0</v>
      </c>
    </row>
    <row r="581" spans="1:7" ht="22.5" customHeight="1" hidden="1">
      <c r="A581" s="16" t="s">
        <v>643</v>
      </c>
      <c r="B581" s="51" t="s">
        <v>1968</v>
      </c>
      <c r="C581" s="15" t="s">
        <v>1653</v>
      </c>
      <c r="D581" s="15" t="s">
        <v>714</v>
      </c>
      <c r="E581" s="15" t="s">
        <v>1531</v>
      </c>
      <c r="F581" s="15" t="s">
        <v>644</v>
      </c>
      <c r="G581" s="18"/>
    </row>
    <row r="582" spans="1:7" ht="17.25" customHeight="1" hidden="1">
      <c r="A582" s="54" t="s">
        <v>432</v>
      </c>
      <c r="B582" s="51" t="s">
        <v>1968</v>
      </c>
      <c r="C582" s="15" t="s">
        <v>1624</v>
      </c>
      <c r="D582" s="15"/>
      <c r="E582" s="15"/>
      <c r="F582" s="15"/>
      <c r="G582" s="18">
        <f>G583</f>
        <v>0</v>
      </c>
    </row>
    <row r="583" spans="1:7" ht="15.75" customHeight="1" hidden="1">
      <c r="A583" s="29" t="s">
        <v>1617</v>
      </c>
      <c r="B583" s="51" t="s">
        <v>1968</v>
      </c>
      <c r="C583" s="15" t="s">
        <v>1624</v>
      </c>
      <c r="D583" s="15" t="s">
        <v>1143</v>
      </c>
      <c r="E583" s="15"/>
      <c r="F583" s="15"/>
      <c r="G583" s="18">
        <f>G584</f>
        <v>0</v>
      </c>
    </row>
    <row r="584" spans="1:7" ht="19.5" customHeight="1" hidden="1">
      <c r="A584" s="30" t="s">
        <v>2002</v>
      </c>
      <c r="B584" s="51" t="s">
        <v>1968</v>
      </c>
      <c r="C584" s="15" t="s">
        <v>1624</v>
      </c>
      <c r="D584" s="15" t="s">
        <v>1143</v>
      </c>
      <c r="E584" s="24" t="s">
        <v>361</v>
      </c>
      <c r="F584" s="15"/>
      <c r="G584" s="18">
        <f>G585</f>
        <v>0</v>
      </c>
    </row>
    <row r="585" spans="1:7" ht="19.5" customHeight="1" hidden="1">
      <c r="A585" s="16" t="s">
        <v>359</v>
      </c>
      <c r="B585" s="51" t="s">
        <v>1968</v>
      </c>
      <c r="C585" s="15" t="s">
        <v>1624</v>
      </c>
      <c r="D585" s="15" t="s">
        <v>1143</v>
      </c>
      <c r="E585" s="24" t="s">
        <v>361</v>
      </c>
      <c r="F585" s="15" t="s">
        <v>360</v>
      </c>
      <c r="G585" s="18">
        <f>40977-4321-36656</f>
        <v>0</v>
      </c>
    </row>
    <row r="586" spans="1:7" ht="15.75" customHeight="1" hidden="1">
      <c r="A586" s="54" t="s">
        <v>1654</v>
      </c>
      <c r="B586" s="51" t="s">
        <v>1968</v>
      </c>
      <c r="C586" s="15" t="s">
        <v>1648</v>
      </c>
      <c r="D586" s="15"/>
      <c r="E586" s="24"/>
      <c r="F586" s="15"/>
      <c r="G586" s="18">
        <f>G587+G591</f>
        <v>0</v>
      </c>
    </row>
    <row r="587" spans="1:7" ht="17.25" customHeight="1" hidden="1">
      <c r="A587" s="75" t="s">
        <v>1373</v>
      </c>
      <c r="B587" s="51" t="s">
        <v>1968</v>
      </c>
      <c r="C587" s="15" t="s">
        <v>1648</v>
      </c>
      <c r="D587" s="15" t="s">
        <v>923</v>
      </c>
      <c r="E587" s="24"/>
      <c r="F587" s="15"/>
      <c r="G587" s="18">
        <f>G588</f>
        <v>0</v>
      </c>
    </row>
    <row r="588" spans="1:7" ht="27.75" customHeight="1" hidden="1">
      <c r="A588" s="35" t="s">
        <v>352</v>
      </c>
      <c r="B588" s="51" t="s">
        <v>1968</v>
      </c>
      <c r="C588" s="15" t="s">
        <v>1648</v>
      </c>
      <c r="D588" s="15" t="s">
        <v>923</v>
      </c>
      <c r="E588" s="24" t="s">
        <v>353</v>
      </c>
      <c r="F588" s="15" t="s">
        <v>575</v>
      </c>
      <c r="G588" s="18">
        <f>G589</f>
        <v>0</v>
      </c>
    </row>
    <row r="589" spans="1:7" ht="18.75" customHeight="1" hidden="1">
      <c r="A589" s="16" t="s">
        <v>1027</v>
      </c>
      <c r="B589" s="51" t="s">
        <v>1968</v>
      </c>
      <c r="C589" s="15" t="s">
        <v>1648</v>
      </c>
      <c r="D589" s="15" t="s">
        <v>923</v>
      </c>
      <c r="E589" s="24" t="s">
        <v>353</v>
      </c>
      <c r="F589" s="15" t="s">
        <v>1196</v>
      </c>
      <c r="G589" s="18">
        <f>G590</f>
        <v>0</v>
      </c>
    </row>
    <row r="590" spans="1:7" ht="26.25" customHeight="1" hidden="1">
      <c r="A590" s="16" t="s">
        <v>386</v>
      </c>
      <c r="B590" s="51" t="s">
        <v>1968</v>
      </c>
      <c r="C590" s="15" t="s">
        <v>1648</v>
      </c>
      <c r="D590" s="15" t="s">
        <v>923</v>
      </c>
      <c r="E590" s="24" t="s">
        <v>353</v>
      </c>
      <c r="F590" s="15" t="s">
        <v>1196</v>
      </c>
      <c r="G590" s="18"/>
    </row>
    <row r="591" spans="1:7" ht="19.5" customHeight="1" hidden="1">
      <c r="A591" s="169" t="s">
        <v>887</v>
      </c>
      <c r="B591" s="51" t="s">
        <v>1968</v>
      </c>
      <c r="C591" s="15" t="s">
        <v>1648</v>
      </c>
      <c r="D591" s="15" t="s">
        <v>1653</v>
      </c>
      <c r="E591" s="24"/>
      <c r="F591" s="15"/>
      <c r="G591" s="18">
        <f>G592</f>
        <v>0</v>
      </c>
    </row>
    <row r="592" spans="1:7" ht="27" customHeight="1" hidden="1">
      <c r="A592" s="169" t="s">
        <v>352</v>
      </c>
      <c r="B592" s="51" t="s">
        <v>1968</v>
      </c>
      <c r="C592" s="15" t="s">
        <v>1648</v>
      </c>
      <c r="D592" s="15" t="s">
        <v>1653</v>
      </c>
      <c r="E592" s="24" t="s">
        <v>353</v>
      </c>
      <c r="F592" s="15" t="s">
        <v>575</v>
      </c>
      <c r="G592" s="18">
        <f>G593</f>
        <v>0</v>
      </c>
    </row>
    <row r="593" spans="1:7" ht="19.5" customHeight="1" hidden="1">
      <c r="A593" s="16" t="s">
        <v>969</v>
      </c>
      <c r="B593" s="51" t="s">
        <v>1968</v>
      </c>
      <c r="C593" s="15" t="s">
        <v>1648</v>
      </c>
      <c r="D593" s="15" t="s">
        <v>1653</v>
      </c>
      <c r="E593" s="24" t="s">
        <v>353</v>
      </c>
      <c r="F593" s="15" t="s">
        <v>180</v>
      </c>
      <c r="G593" s="18">
        <f>G594</f>
        <v>0</v>
      </c>
    </row>
    <row r="594" spans="1:7" ht="18" customHeight="1" hidden="1">
      <c r="A594" s="16" t="s">
        <v>223</v>
      </c>
      <c r="B594" s="51" t="s">
        <v>1968</v>
      </c>
      <c r="C594" s="15" t="s">
        <v>1648</v>
      </c>
      <c r="D594" s="15" t="s">
        <v>1653</v>
      </c>
      <c r="E594" s="24" t="s">
        <v>353</v>
      </c>
      <c r="F594" s="15" t="s">
        <v>180</v>
      </c>
      <c r="G594" s="18"/>
    </row>
    <row r="595" spans="1:7" ht="15">
      <c r="A595" s="54" t="s">
        <v>440</v>
      </c>
      <c r="B595" s="51" t="s">
        <v>1968</v>
      </c>
      <c r="C595" s="15" t="s">
        <v>1651</v>
      </c>
      <c r="D595" s="39"/>
      <c r="E595" s="39"/>
      <c r="F595" s="39"/>
      <c r="G595" s="18">
        <f>G596+G618</f>
        <v>112502.70000000001</v>
      </c>
    </row>
    <row r="596" spans="1:7" ht="15">
      <c r="A596" s="29" t="s">
        <v>724</v>
      </c>
      <c r="B596" s="51" t="s">
        <v>1968</v>
      </c>
      <c r="C596" s="15" t="s">
        <v>1651</v>
      </c>
      <c r="D596" s="15" t="s">
        <v>923</v>
      </c>
      <c r="E596" s="15"/>
      <c r="F596" s="15"/>
      <c r="G596" s="18">
        <f>G597+G605+G612</f>
        <v>83524.20000000001</v>
      </c>
    </row>
    <row r="597" spans="1:7" ht="15.75" hidden="1">
      <c r="A597" s="30" t="s">
        <v>905</v>
      </c>
      <c r="B597" s="51" t="s">
        <v>1968</v>
      </c>
      <c r="C597" s="15" t="s">
        <v>1651</v>
      </c>
      <c r="D597" s="15" t="s">
        <v>923</v>
      </c>
      <c r="E597" s="15" t="s">
        <v>1943</v>
      </c>
      <c r="F597" s="15"/>
      <c r="G597" s="18">
        <f>G598+G600</f>
        <v>0</v>
      </c>
    </row>
    <row r="598" spans="1:7" ht="19.5" customHeight="1" hidden="1">
      <c r="A598" s="191" t="s">
        <v>101</v>
      </c>
      <c r="B598" s="51" t="s">
        <v>1968</v>
      </c>
      <c r="C598" s="15" t="s">
        <v>1651</v>
      </c>
      <c r="D598" s="15" t="s">
        <v>923</v>
      </c>
      <c r="E598" s="15" t="s">
        <v>102</v>
      </c>
      <c r="F598" s="15"/>
      <c r="G598" s="18">
        <f>G599</f>
        <v>0</v>
      </c>
    </row>
    <row r="599" spans="1:7" ht="20.25" customHeight="1" hidden="1">
      <c r="A599" s="118" t="s">
        <v>459</v>
      </c>
      <c r="B599" s="51" t="s">
        <v>1968</v>
      </c>
      <c r="C599" s="15" t="s">
        <v>1651</v>
      </c>
      <c r="D599" s="15" t="s">
        <v>923</v>
      </c>
      <c r="E599" s="15" t="s">
        <v>102</v>
      </c>
      <c r="F599" s="15" t="s">
        <v>460</v>
      </c>
      <c r="G599" s="18"/>
    </row>
    <row r="600" spans="1:7" ht="24.75" hidden="1">
      <c r="A600" s="16" t="s">
        <v>2002</v>
      </c>
      <c r="B600" s="51" t="s">
        <v>1968</v>
      </c>
      <c r="C600" s="15" t="s">
        <v>1651</v>
      </c>
      <c r="D600" s="15" t="s">
        <v>923</v>
      </c>
      <c r="E600" s="15" t="s">
        <v>957</v>
      </c>
      <c r="F600" s="15" t="s">
        <v>575</v>
      </c>
      <c r="G600" s="18">
        <f>G601</f>
        <v>0</v>
      </c>
    </row>
    <row r="601" spans="1:7" ht="24.75" hidden="1">
      <c r="A601" s="16" t="s">
        <v>270</v>
      </c>
      <c r="B601" s="51" t="s">
        <v>1968</v>
      </c>
      <c r="C601" s="15" t="s">
        <v>1651</v>
      </c>
      <c r="D601" s="15" t="s">
        <v>923</v>
      </c>
      <c r="E601" s="15" t="s">
        <v>957</v>
      </c>
      <c r="F601" s="15" t="s">
        <v>271</v>
      </c>
      <c r="G601" s="18">
        <f>G602</f>
        <v>0</v>
      </c>
    </row>
    <row r="602" spans="1:7" ht="24.75" hidden="1">
      <c r="A602" s="16" t="s">
        <v>269</v>
      </c>
      <c r="B602" s="51" t="s">
        <v>1968</v>
      </c>
      <c r="C602" s="15" t="s">
        <v>1651</v>
      </c>
      <c r="D602" s="15" t="s">
        <v>923</v>
      </c>
      <c r="E602" s="15" t="s">
        <v>957</v>
      </c>
      <c r="F602" s="15" t="s">
        <v>570</v>
      </c>
      <c r="G602" s="18"/>
    </row>
    <row r="603" spans="1:7" ht="18" customHeight="1" hidden="1">
      <c r="A603" s="16" t="s">
        <v>396</v>
      </c>
      <c r="B603" s="51" t="s">
        <v>1968</v>
      </c>
      <c r="C603" s="15" t="s">
        <v>1651</v>
      </c>
      <c r="D603" s="15" t="s">
        <v>923</v>
      </c>
      <c r="E603" s="15" t="s">
        <v>957</v>
      </c>
      <c r="F603" s="15" t="s">
        <v>1433</v>
      </c>
      <c r="G603" s="18"/>
    </row>
    <row r="604" spans="1:7" ht="24.75" customHeight="1" hidden="1">
      <c r="A604" s="16" t="s">
        <v>395</v>
      </c>
      <c r="B604" s="51" t="s">
        <v>1968</v>
      </c>
      <c r="C604" s="15" t="s">
        <v>1651</v>
      </c>
      <c r="D604" s="15" t="s">
        <v>923</v>
      </c>
      <c r="E604" s="15" t="s">
        <v>957</v>
      </c>
      <c r="F604" s="15" t="s">
        <v>1434</v>
      </c>
      <c r="G604" s="18"/>
    </row>
    <row r="605" spans="1:7" ht="24.75" customHeight="1">
      <c r="A605" s="192" t="s">
        <v>1148</v>
      </c>
      <c r="B605" s="51" t="s">
        <v>1968</v>
      </c>
      <c r="C605" s="15" t="s">
        <v>1651</v>
      </c>
      <c r="D605" s="15" t="s">
        <v>923</v>
      </c>
      <c r="E605" s="15" t="s">
        <v>1149</v>
      </c>
      <c r="F605" s="15"/>
      <c r="G605" s="18">
        <f>G606</f>
        <v>2683.6</v>
      </c>
    </row>
    <row r="606" spans="1:7" ht="24.75" customHeight="1">
      <c r="A606" s="35" t="s">
        <v>310</v>
      </c>
      <c r="B606" s="51" t="s">
        <v>1968</v>
      </c>
      <c r="C606" s="15" t="s">
        <v>1651</v>
      </c>
      <c r="D606" s="15" t="s">
        <v>923</v>
      </c>
      <c r="E606" s="15" t="s">
        <v>789</v>
      </c>
      <c r="F606" s="15"/>
      <c r="G606" s="18">
        <f>G607</f>
        <v>2683.6</v>
      </c>
    </row>
    <row r="607" spans="1:7" ht="42.75" customHeight="1">
      <c r="A607" s="35" t="s">
        <v>790</v>
      </c>
      <c r="B607" s="51" t="s">
        <v>1968</v>
      </c>
      <c r="C607" s="15" t="s">
        <v>1651</v>
      </c>
      <c r="D607" s="15" t="s">
        <v>923</v>
      </c>
      <c r="E607" s="15" t="s">
        <v>791</v>
      </c>
      <c r="F607" s="15" t="s">
        <v>575</v>
      </c>
      <c r="G607" s="18">
        <f>G608</f>
        <v>2683.6</v>
      </c>
    </row>
    <row r="608" spans="1:7" ht="24.75" customHeight="1">
      <c r="A608" s="16" t="s">
        <v>270</v>
      </c>
      <c r="B608" s="51" t="s">
        <v>1968</v>
      </c>
      <c r="C608" s="15" t="s">
        <v>1651</v>
      </c>
      <c r="D608" s="15" t="s">
        <v>923</v>
      </c>
      <c r="E608" s="15" t="s">
        <v>791</v>
      </c>
      <c r="F608" s="15" t="s">
        <v>271</v>
      </c>
      <c r="G608" s="18">
        <f>G609+G610</f>
        <v>2683.6</v>
      </c>
    </row>
    <row r="609" spans="1:7" ht="24.75" customHeight="1">
      <c r="A609" s="16" t="s">
        <v>269</v>
      </c>
      <c r="B609" s="51" t="s">
        <v>1968</v>
      </c>
      <c r="C609" s="15" t="s">
        <v>1651</v>
      </c>
      <c r="D609" s="15" t="s">
        <v>923</v>
      </c>
      <c r="E609" s="15" t="s">
        <v>791</v>
      </c>
      <c r="F609" s="15" t="s">
        <v>570</v>
      </c>
      <c r="G609" s="18">
        <v>2683.6</v>
      </c>
    </row>
    <row r="610" spans="1:7" ht="24.75" customHeight="1" hidden="1">
      <c r="A610" s="16" t="s">
        <v>396</v>
      </c>
      <c r="B610" s="51" t="s">
        <v>1968</v>
      </c>
      <c r="C610" s="15" t="s">
        <v>1651</v>
      </c>
      <c r="D610" s="15" t="s">
        <v>923</v>
      </c>
      <c r="E610" s="15" t="s">
        <v>791</v>
      </c>
      <c r="F610" s="15" t="s">
        <v>1433</v>
      </c>
      <c r="G610" s="18"/>
    </row>
    <row r="611" spans="1:7" ht="24.75" customHeight="1" hidden="1">
      <c r="A611" s="16" t="s">
        <v>395</v>
      </c>
      <c r="B611" s="51" t="s">
        <v>1968</v>
      </c>
      <c r="C611" s="15" t="s">
        <v>1651</v>
      </c>
      <c r="D611" s="15" t="s">
        <v>923</v>
      </c>
      <c r="E611" s="15" t="s">
        <v>791</v>
      </c>
      <c r="F611" s="15" t="s">
        <v>1434</v>
      </c>
      <c r="G611" s="18"/>
    </row>
    <row r="612" spans="1:7" ht="24.75" customHeight="1">
      <c r="A612" s="16" t="s">
        <v>770</v>
      </c>
      <c r="B612" s="51" t="s">
        <v>1968</v>
      </c>
      <c r="C612" s="52" t="s">
        <v>1651</v>
      </c>
      <c r="D612" s="52" t="s">
        <v>923</v>
      </c>
      <c r="E612" s="52" t="s">
        <v>131</v>
      </c>
      <c r="F612" s="52" t="s">
        <v>575</v>
      </c>
      <c r="G612" s="18">
        <f>G613</f>
        <v>80840.6</v>
      </c>
    </row>
    <row r="613" spans="1:7" ht="19.5" customHeight="1">
      <c r="A613" s="16" t="s">
        <v>270</v>
      </c>
      <c r="B613" s="51" t="s">
        <v>1968</v>
      </c>
      <c r="C613" s="52" t="s">
        <v>1651</v>
      </c>
      <c r="D613" s="52" t="s">
        <v>923</v>
      </c>
      <c r="E613" s="52" t="s">
        <v>131</v>
      </c>
      <c r="F613" s="52" t="s">
        <v>271</v>
      </c>
      <c r="G613" s="18">
        <f>G614+G615</f>
        <v>80840.6</v>
      </c>
    </row>
    <row r="614" spans="1:7" ht="26.25" customHeight="1">
      <c r="A614" s="16" t="s">
        <v>269</v>
      </c>
      <c r="B614" s="51" t="s">
        <v>1968</v>
      </c>
      <c r="C614" s="52" t="s">
        <v>1651</v>
      </c>
      <c r="D614" s="52" t="s">
        <v>923</v>
      </c>
      <c r="E614" s="52" t="s">
        <v>131</v>
      </c>
      <c r="F614" s="52" t="s">
        <v>570</v>
      </c>
      <c r="G614" s="18">
        <f>76157+2683.6</f>
        <v>78840.6</v>
      </c>
    </row>
    <row r="615" spans="1:7" ht="18.75" customHeight="1">
      <c r="A615" s="16" t="s">
        <v>1445</v>
      </c>
      <c r="B615" s="51" t="s">
        <v>1968</v>
      </c>
      <c r="C615" s="52" t="s">
        <v>1651</v>
      </c>
      <c r="D615" s="52" t="s">
        <v>923</v>
      </c>
      <c r="E615" s="52" t="s">
        <v>131</v>
      </c>
      <c r="F615" s="52" t="s">
        <v>180</v>
      </c>
      <c r="G615" s="18">
        <f>G616+G617</f>
        <v>2000</v>
      </c>
    </row>
    <row r="616" spans="1:7" ht="40.5" customHeight="1">
      <c r="A616" s="16" t="s">
        <v>313</v>
      </c>
      <c r="B616" s="51" t="s">
        <v>1968</v>
      </c>
      <c r="C616" s="52" t="s">
        <v>1651</v>
      </c>
      <c r="D616" s="52" t="s">
        <v>923</v>
      </c>
      <c r="E616" s="52" t="s">
        <v>131</v>
      </c>
      <c r="F616" s="52" t="s">
        <v>180</v>
      </c>
      <c r="G616" s="18">
        <f>2000-750</f>
        <v>1250</v>
      </c>
    </row>
    <row r="617" spans="1:7" ht="17.25" customHeight="1">
      <c r="A617" s="16" t="s">
        <v>1503</v>
      </c>
      <c r="B617" s="51" t="s">
        <v>1968</v>
      </c>
      <c r="C617" s="52" t="s">
        <v>1651</v>
      </c>
      <c r="D617" s="52" t="s">
        <v>923</v>
      </c>
      <c r="E617" s="52" t="s">
        <v>131</v>
      </c>
      <c r="F617" s="52" t="s">
        <v>180</v>
      </c>
      <c r="G617" s="18">
        <v>750</v>
      </c>
    </row>
    <row r="618" spans="1:7" ht="15">
      <c r="A618" s="29" t="s">
        <v>220</v>
      </c>
      <c r="B618" s="51" t="s">
        <v>1968</v>
      </c>
      <c r="C618" s="15" t="s">
        <v>1651</v>
      </c>
      <c r="D618" s="15" t="s">
        <v>1651</v>
      </c>
      <c r="E618" s="15"/>
      <c r="F618" s="15"/>
      <c r="G618" s="18">
        <f>G619+G621+G658+G640+G646+G650</f>
        <v>28978.5</v>
      </c>
    </row>
    <row r="619" spans="1:7" ht="52.5" customHeight="1" hidden="1">
      <c r="A619" s="31" t="s">
        <v>376</v>
      </c>
      <c r="B619" s="51" t="s">
        <v>1968</v>
      </c>
      <c r="C619" s="15" t="s">
        <v>1651</v>
      </c>
      <c r="D619" s="15" t="s">
        <v>1651</v>
      </c>
      <c r="E619" s="15" t="s">
        <v>15</v>
      </c>
      <c r="F619" s="15"/>
      <c r="G619" s="18">
        <f>G620</f>
        <v>0</v>
      </c>
    </row>
    <row r="620" spans="1:7" ht="18" customHeight="1" hidden="1">
      <c r="A620" s="35" t="s">
        <v>166</v>
      </c>
      <c r="B620" s="51" t="s">
        <v>1968</v>
      </c>
      <c r="C620" s="15" t="s">
        <v>1651</v>
      </c>
      <c r="D620" s="15" t="s">
        <v>1651</v>
      </c>
      <c r="E620" s="15" t="s">
        <v>15</v>
      </c>
      <c r="F620" s="15" t="s">
        <v>167</v>
      </c>
      <c r="G620" s="18"/>
    </row>
    <row r="621" spans="1:7" ht="15">
      <c r="A621" s="30" t="s">
        <v>221</v>
      </c>
      <c r="B621" s="51" t="s">
        <v>1968</v>
      </c>
      <c r="C621" s="15" t="s">
        <v>1651</v>
      </c>
      <c r="D621" s="15" t="s">
        <v>1651</v>
      </c>
      <c r="E621" s="15" t="s">
        <v>222</v>
      </c>
      <c r="F621" s="15"/>
      <c r="G621" s="18">
        <f>G622+G625+G627+G633+G635</f>
        <v>30</v>
      </c>
    </row>
    <row r="622" spans="1:17" s="66" customFormat="1" ht="27.75" customHeight="1" hidden="1">
      <c r="A622" s="16" t="s">
        <v>2002</v>
      </c>
      <c r="B622" s="51" t="s">
        <v>1968</v>
      </c>
      <c r="C622" s="15" t="s">
        <v>1651</v>
      </c>
      <c r="D622" s="15" t="s">
        <v>1651</v>
      </c>
      <c r="E622" s="15" t="s">
        <v>1558</v>
      </c>
      <c r="F622" s="15" t="s">
        <v>575</v>
      </c>
      <c r="G622" s="18">
        <f>G623+G624</f>
        <v>0</v>
      </c>
      <c r="J622" s="83"/>
      <c r="K622" s="83"/>
      <c r="L622" s="83"/>
      <c r="M622" s="83"/>
      <c r="N622" s="83"/>
      <c r="O622" s="83"/>
      <c r="P622" s="83"/>
      <c r="Q622" s="83"/>
    </row>
    <row r="623" spans="1:17" s="66" customFormat="1" ht="18.75" customHeight="1" hidden="1">
      <c r="A623" s="16" t="s">
        <v>359</v>
      </c>
      <c r="B623" s="51" t="s">
        <v>1968</v>
      </c>
      <c r="C623" s="15" t="s">
        <v>1651</v>
      </c>
      <c r="D623" s="15" t="s">
        <v>1651</v>
      </c>
      <c r="E623" s="15" t="s">
        <v>1558</v>
      </c>
      <c r="F623" s="15" t="s">
        <v>360</v>
      </c>
      <c r="G623" s="18">
        <v>0</v>
      </c>
      <c r="J623" s="83"/>
      <c r="K623" s="83"/>
      <c r="L623" s="83"/>
      <c r="M623" s="83"/>
      <c r="N623" s="83"/>
      <c r="O623" s="83"/>
      <c r="P623" s="83"/>
      <c r="Q623" s="83"/>
    </row>
    <row r="624" spans="1:7" ht="26.25" customHeight="1" hidden="1">
      <c r="A624" s="16" t="s">
        <v>1104</v>
      </c>
      <c r="B624" s="51" t="s">
        <v>1968</v>
      </c>
      <c r="C624" s="15" t="s">
        <v>1651</v>
      </c>
      <c r="D624" s="15" t="s">
        <v>1651</v>
      </c>
      <c r="E624" s="15" t="s">
        <v>1558</v>
      </c>
      <c r="F624" s="15" t="s">
        <v>139</v>
      </c>
      <c r="G624" s="18"/>
    </row>
    <row r="625" spans="1:7" ht="24" customHeight="1" hidden="1">
      <c r="A625" s="16" t="s">
        <v>5</v>
      </c>
      <c r="B625" s="51" t="s">
        <v>1968</v>
      </c>
      <c r="C625" s="15" t="s">
        <v>1651</v>
      </c>
      <c r="D625" s="15" t="s">
        <v>1651</v>
      </c>
      <c r="E625" s="15" t="s">
        <v>6</v>
      </c>
      <c r="F625" s="15"/>
      <c r="G625" s="18">
        <f>G626</f>
        <v>0</v>
      </c>
    </row>
    <row r="626" spans="1:7" ht="22.5" customHeight="1" hidden="1">
      <c r="A626" s="16" t="s">
        <v>230</v>
      </c>
      <c r="B626" s="51" t="s">
        <v>1968</v>
      </c>
      <c r="C626" s="15" t="s">
        <v>1651</v>
      </c>
      <c r="D626" s="15" t="s">
        <v>1651</v>
      </c>
      <c r="E626" s="15" t="s">
        <v>6</v>
      </c>
      <c r="F626" s="15" t="s">
        <v>17</v>
      </c>
      <c r="G626" s="18">
        <f>1404-1404</f>
        <v>0</v>
      </c>
    </row>
    <row r="627" spans="1:7" ht="15">
      <c r="A627" s="16" t="s">
        <v>2002</v>
      </c>
      <c r="B627" s="51" t="s">
        <v>1968</v>
      </c>
      <c r="C627" s="15" t="s">
        <v>1651</v>
      </c>
      <c r="D627" s="15" t="s">
        <v>1651</v>
      </c>
      <c r="E627" s="15" t="s">
        <v>664</v>
      </c>
      <c r="F627" s="15"/>
      <c r="G627" s="18">
        <f>G628</f>
        <v>30</v>
      </c>
    </row>
    <row r="628" spans="1:7" ht="19.5" customHeight="1">
      <c r="A628" s="16" t="s">
        <v>270</v>
      </c>
      <c r="B628" s="51" t="s">
        <v>1968</v>
      </c>
      <c r="C628" s="15" t="s">
        <v>1651</v>
      </c>
      <c r="D628" s="15" t="s">
        <v>1651</v>
      </c>
      <c r="E628" s="15" t="s">
        <v>664</v>
      </c>
      <c r="F628" s="15" t="s">
        <v>271</v>
      </c>
      <c r="G628" s="18">
        <f>G630</f>
        <v>30</v>
      </c>
    </row>
    <row r="629" spans="1:7" ht="22.5" customHeight="1" hidden="1">
      <c r="A629" s="16" t="s">
        <v>269</v>
      </c>
      <c r="B629" s="51" t="s">
        <v>1968</v>
      </c>
      <c r="C629" s="15" t="s">
        <v>1651</v>
      </c>
      <c r="D629" s="15" t="s">
        <v>1651</v>
      </c>
      <c r="E629" s="15" t="s">
        <v>1558</v>
      </c>
      <c r="F629" s="15" t="s">
        <v>570</v>
      </c>
      <c r="G629" s="18"/>
    </row>
    <row r="630" spans="1:7" ht="17.25" customHeight="1">
      <c r="A630" s="16" t="s">
        <v>368</v>
      </c>
      <c r="B630" s="51" t="s">
        <v>1968</v>
      </c>
      <c r="C630" s="15" t="s">
        <v>1651</v>
      </c>
      <c r="D630" s="15" t="s">
        <v>1651</v>
      </c>
      <c r="E630" s="15" t="s">
        <v>664</v>
      </c>
      <c r="F630" s="15" t="s">
        <v>180</v>
      </c>
      <c r="G630" s="18">
        <f>G631+G632</f>
        <v>30</v>
      </c>
    </row>
    <row r="631" spans="1:7" ht="24.75" customHeight="1" hidden="1">
      <c r="A631" s="16" t="s">
        <v>5</v>
      </c>
      <c r="B631" s="51" t="s">
        <v>1968</v>
      </c>
      <c r="C631" s="15" t="s">
        <v>1651</v>
      </c>
      <c r="D631" s="15" t="s">
        <v>1651</v>
      </c>
      <c r="E631" s="15" t="s">
        <v>6</v>
      </c>
      <c r="F631" s="15" t="s">
        <v>180</v>
      </c>
      <c r="G631" s="18">
        <v>0</v>
      </c>
    </row>
    <row r="632" spans="1:7" ht="24.75" customHeight="1">
      <c r="A632" s="168" t="s">
        <v>1187</v>
      </c>
      <c r="B632" s="51" t="s">
        <v>1968</v>
      </c>
      <c r="C632" s="15" t="s">
        <v>1651</v>
      </c>
      <c r="D632" s="15" t="s">
        <v>1651</v>
      </c>
      <c r="E632" s="15" t="s">
        <v>664</v>
      </c>
      <c r="F632" s="15" t="s">
        <v>180</v>
      </c>
      <c r="G632" s="18">
        <f>400-370</f>
        <v>30</v>
      </c>
    </row>
    <row r="633" spans="1:7" ht="38.25" customHeight="1" hidden="1">
      <c r="A633" s="16" t="s">
        <v>1378</v>
      </c>
      <c r="B633" s="51" t="s">
        <v>1968</v>
      </c>
      <c r="C633" s="15" t="s">
        <v>1651</v>
      </c>
      <c r="D633" s="15" t="s">
        <v>1651</v>
      </c>
      <c r="E633" s="15" t="s">
        <v>795</v>
      </c>
      <c r="F633" s="15" t="s">
        <v>575</v>
      </c>
      <c r="G633" s="18">
        <f>G634</f>
        <v>0</v>
      </c>
    </row>
    <row r="634" spans="1:7" ht="24.75" customHeight="1" hidden="1">
      <c r="A634" s="16" t="s">
        <v>269</v>
      </c>
      <c r="B634" s="51" t="s">
        <v>1968</v>
      </c>
      <c r="C634" s="15" t="s">
        <v>1651</v>
      </c>
      <c r="D634" s="15" t="s">
        <v>1651</v>
      </c>
      <c r="E634" s="15" t="s">
        <v>795</v>
      </c>
      <c r="F634" s="15" t="s">
        <v>570</v>
      </c>
      <c r="G634" s="18"/>
    </row>
    <row r="635" spans="1:7" ht="15.75" customHeight="1" hidden="1">
      <c r="A635" s="16" t="s">
        <v>2002</v>
      </c>
      <c r="B635" s="51" t="s">
        <v>1968</v>
      </c>
      <c r="C635" s="15" t="s">
        <v>1651</v>
      </c>
      <c r="D635" s="15" t="s">
        <v>1651</v>
      </c>
      <c r="E635" s="15" t="s">
        <v>664</v>
      </c>
      <c r="F635" s="15" t="s">
        <v>575</v>
      </c>
      <c r="G635" s="18">
        <f>G636</f>
        <v>0</v>
      </c>
    </row>
    <row r="636" spans="1:7" ht="15.75" customHeight="1" hidden="1">
      <c r="A636" s="16" t="s">
        <v>270</v>
      </c>
      <c r="B636" s="51" t="s">
        <v>1968</v>
      </c>
      <c r="C636" s="15" t="s">
        <v>1651</v>
      </c>
      <c r="D636" s="15" t="s">
        <v>1651</v>
      </c>
      <c r="E636" s="15" t="s">
        <v>664</v>
      </c>
      <c r="F636" s="15" t="s">
        <v>271</v>
      </c>
      <c r="G636" s="18">
        <f>G637+G638</f>
        <v>0</v>
      </c>
    </row>
    <row r="637" spans="1:7" ht="24.75" customHeight="1" hidden="1">
      <c r="A637" s="16" t="s">
        <v>269</v>
      </c>
      <c r="B637" s="51" t="s">
        <v>1968</v>
      </c>
      <c r="C637" s="15" t="s">
        <v>1651</v>
      </c>
      <c r="D637" s="15" t="s">
        <v>1651</v>
      </c>
      <c r="E637" s="15" t="s">
        <v>664</v>
      </c>
      <c r="F637" s="15" t="s">
        <v>570</v>
      </c>
      <c r="G637" s="18"/>
    </row>
    <row r="638" spans="1:7" ht="17.25" customHeight="1" hidden="1">
      <c r="A638" s="16" t="s">
        <v>1997</v>
      </c>
      <c r="B638" s="51" t="s">
        <v>1968</v>
      </c>
      <c r="C638" s="15" t="s">
        <v>1651</v>
      </c>
      <c r="D638" s="15" t="s">
        <v>1651</v>
      </c>
      <c r="E638" s="15" t="s">
        <v>664</v>
      </c>
      <c r="F638" s="15" t="s">
        <v>180</v>
      </c>
      <c r="G638" s="18">
        <f>G639+G642+G643+G644+G645</f>
        <v>0</v>
      </c>
    </row>
    <row r="639" spans="1:7" ht="17.25" customHeight="1" hidden="1">
      <c r="A639" s="16" t="s">
        <v>1081</v>
      </c>
      <c r="B639" s="51" t="s">
        <v>1968</v>
      </c>
      <c r="C639" s="15" t="s">
        <v>1651</v>
      </c>
      <c r="D639" s="15" t="s">
        <v>1651</v>
      </c>
      <c r="E639" s="15" t="s">
        <v>664</v>
      </c>
      <c r="F639" s="15" t="s">
        <v>180</v>
      </c>
      <c r="G639" s="18"/>
    </row>
    <row r="640" spans="1:7" ht="15" customHeight="1" hidden="1">
      <c r="A640" s="30" t="s">
        <v>182</v>
      </c>
      <c r="B640" s="51" t="s">
        <v>1968</v>
      </c>
      <c r="C640" s="15" t="s">
        <v>1651</v>
      </c>
      <c r="D640" s="15" t="s">
        <v>1651</v>
      </c>
      <c r="E640" s="15" t="s">
        <v>1119</v>
      </c>
      <c r="F640" s="15"/>
      <c r="G640" s="18">
        <f>G641</f>
        <v>0</v>
      </c>
    </row>
    <row r="641" spans="1:7" ht="17.25" customHeight="1" hidden="1">
      <c r="A641" s="16" t="s">
        <v>955</v>
      </c>
      <c r="B641" s="51" t="s">
        <v>1968</v>
      </c>
      <c r="C641" s="15" t="s">
        <v>1651</v>
      </c>
      <c r="D641" s="15" t="s">
        <v>1651</v>
      </c>
      <c r="E641" s="15" t="s">
        <v>1119</v>
      </c>
      <c r="F641" s="15" t="s">
        <v>956</v>
      </c>
      <c r="G641" s="18"/>
    </row>
    <row r="642" spans="1:7" ht="25.5" customHeight="1" hidden="1">
      <c r="A642" s="16" t="s">
        <v>1082</v>
      </c>
      <c r="B642" s="51" t="s">
        <v>1968</v>
      </c>
      <c r="C642" s="15" t="s">
        <v>1651</v>
      </c>
      <c r="D642" s="15" t="s">
        <v>1651</v>
      </c>
      <c r="E642" s="15" t="s">
        <v>664</v>
      </c>
      <c r="F642" s="15" t="s">
        <v>180</v>
      </c>
      <c r="G642" s="18"/>
    </row>
    <row r="643" spans="1:7" ht="25.5" customHeight="1" hidden="1">
      <c r="A643" s="16" t="s">
        <v>894</v>
      </c>
      <c r="B643" s="51" t="s">
        <v>1968</v>
      </c>
      <c r="C643" s="15" t="s">
        <v>1651</v>
      </c>
      <c r="D643" s="15" t="s">
        <v>1651</v>
      </c>
      <c r="E643" s="15" t="s">
        <v>664</v>
      </c>
      <c r="F643" s="15" t="s">
        <v>180</v>
      </c>
      <c r="G643" s="18"/>
    </row>
    <row r="644" spans="1:7" ht="17.25" customHeight="1" hidden="1">
      <c r="A644" s="16" t="s">
        <v>1998</v>
      </c>
      <c r="B644" s="51" t="s">
        <v>1968</v>
      </c>
      <c r="C644" s="15" t="s">
        <v>1651</v>
      </c>
      <c r="D644" s="15" t="s">
        <v>1651</v>
      </c>
      <c r="E644" s="15" t="s">
        <v>664</v>
      </c>
      <c r="F644" s="15" t="s">
        <v>180</v>
      </c>
      <c r="G644" s="18"/>
    </row>
    <row r="645" spans="1:7" ht="17.25" customHeight="1" hidden="1">
      <c r="A645" s="168" t="s">
        <v>435</v>
      </c>
      <c r="B645" s="51" t="s">
        <v>1968</v>
      </c>
      <c r="C645" s="15" t="s">
        <v>1651</v>
      </c>
      <c r="D645" s="15" t="s">
        <v>1651</v>
      </c>
      <c r="E645" s="15" t="s">
        <v>664</v>
      </c>
      <c r="F645" s="15" t="s">
        <v>180</v>
      </c>
      <c r="G645" s="18"/>
    </row>
    <row r="646" spans="1:7" ht="29.25" customHeight="1" hidden="1">
      <c r="A646" s="169" t="s">
        <v>352</v>
      </c>
      <c r="B646" s="51" t="s">
        <v>1968</v>
      </c>
      <c r="C646" s="15" t="s">
        <v>1651</v>
      </c>
      <c r="D646" s="15" t="s">
        <v>1651</v>
      </c>
      <c r="E646" s="24" t="s">
        <v>353</v>
      </c>
      <c r="F646" s="15" t="s">
        <v>575</v>
      </c>
      <c r="G646" s="18">
        <f>G647</f>
        <v>0</v>
      </c>
    </row>
    <row r="647" spans="1:7" ht="17.25" customHeight="1" hidden="1">
      <c r="A647" s="16" t="s">
        <v>1997</v>
      </c>
      <c r="B647" s="51" t="s">
        <v>1968</v>
      </c>
      <c r="C647" s="15" t="s">
        <v>1651</v>
      </c>
      <c r="D647" s="15" t="s">
        <v>1651</v>
      </c>
      <c r="E647" s="24" t="s">
        <v>353</v>
      </c>
      <c r="F647" s="15" t="s">
        <v>180</v>
      </c>
      <c r="G647" s="18">
        <f>G648+G649</f>
        <v>0</v>
      </c>
    </row>
    <row r="648" spans="1:7" ht="27" customHeight="1" hidden="1">
      <c r="A648" s="16" t="s">
        <v>1984</v>
      </c>
      <c r="B648" s="51" t="s">
        <v>1968</v>
      </c>
      <c r="C648" s="15" t="s">
        <v>1651</v>
      </c>
      <c r="D648" s="15" t="s">
        <v>1651</v>
      </c>
      <c r="E648" s="24" t="s">
        <v>353</v>
      </c>
      <c r="F648" s="15" t="s">
        <v>180</v>
      </c>
      <c r="G648" s="18"/>
    </row>
    <row r="649" spans="1:7" ht="29.25" customHeight="1" hidden="1">
      <c r="A649" s="16" t="s">
        <v>387</v>
      </c>
      <c r="B649" s="51" t="s">
        <v>1968</v>
      </c>
      <c r="C649" s="15" t="s">
        <v>1651</v>
      </c>
      <c r="D649" s="15" t="s">
        <v>1651</v>
      </c>
      <c r="E649" s="24" t="s">
        <v>353</v>
      </c>
      <c r="F649" s="15" t="s">
        <v>180</v>
      </c>
      <c r="G649" s="18"/>
    </row>
    <row r="650" spans="1:7" ht="17.25" customHeight="1">
      <c r="A650" s="31" t="s">
        <v>1148</v>
      </c>
      <c r="B650" s="51" t="s">
        <v>1968</v>
      </c>
      <c r="C650" s="15" t="s">
        <v>1651</v>
      </c>
      <c r="D650" s="15" t="s">
        <v>1651</v>
      </c>
      <c r="E650" s="15" t="s">
        <v>1149</v>
      </c>
      <c r="F650" s="15"/>
      <c r="G650" s="18">
        <f>G651+G654</f>
        <v>4893</v>
      </c>
    </row>
    <row r="651" spans="1:7" ht="29.25" customHeight="1">
      <c r="A651" s="35" t="s">
        <v>145</v>
      </c>
      <c r="B651" s="51" t="s">
        <v>1968</v>
      </c>
      <c r="C651" s="15" t="s">
        <v>1651</v>
      </c>
      <c r="D651" s="15" t="s">
        <v>1651</v>
      </c>
      <c r="E651" s="15" t="s">
        <v>143</v>
      </c>
      <c r="F651" s="15" t="s">
        <v>575</v>
      </c>
      <c r="G651" s="18">
        <f>G652</f>
        <v>1000</v>
      </c>
    </row>
    <row r="652" spans="1:7" ht="29.25" customHeight="1">
      <c r="A652" s="35" t="s">
        <v>352</v>
      </c>
      <c r="B652" s="51" t="s">
        <v>1968</v>
      </c>
      <c r="C652" s="15" t="s">
        <v>1651</v>
      </c>
      <c r="D652" s="15" t="s">
        <v>1651</v>
      </c>
      <c r="E652" s="15" t="s">
        <v>353</v>
      </c>
      <c r="F652" s="15" t="s">
        <v>575</v>
      </c>
      <c r="G652" s="18">
        <f>G653</f>
        <v>1000</v>
      </c>
    </row>
    <row r="653" spans="1:7" ht="17.25" customHeight="1">
      <c r="A653" s="16" t="s">
        <v>1989</v>
      </c>
      <c r="B653" s="51" t="s">
        <v>1968</v>
      </c>
      <c r="C653" s="15" t="s">
        <v>1651</v>
      </c>
      <c r="D653" s="15" t="s">
        <v>1651</v>
      </c>
      <c r="E653" s="15" t="s">
        <v>353</v>
      </c>
      <c r="F653" s="15" t="s">
        <v>180</v>
      </c>
      <c r="G653" s="18">
        <v>1000</v>
      </c>
    </row>
    <row r="654" spans="1:7" ht="27.75" customHeight="1">
      <c r="A654" s="16" t="s">
        <v>607</v>
      </c>
      <c r="B654" s="51" t="s">
        <v>1968</v>
      </c>
      <c r="C654" s="15" t="s">
        <v>1651</v>
      </c>
      <c r="D654" s="15" t="s">
        <v>1651</v>
      </c>
      <c r="E654" s="15" t="s">
        <v>608</v>
      </c>
      <c r="F654" s="15"/>
      <c r="G654" s="18">
        <f>G655</f>
        <v>3893</v>
      </c>
    </row>
    <row r="655" spans="1:7" ht="32.25" customHeight="1">
      <c r="A655" s="16" t="s">
        <v>609</v>
      </c>
      <c r="B655" s="51" t="s">
        <v>1968</v>
      </c>
      <c r="C655" s="15" t="s">
        <v>1651</v>
      </c>
      <c r="D655" s="15" t="s">
        <v>1651</v>
      </c>
      <c r="E655" s="15" t="s">
        <v>610</v>
      </c>
      <c r="F655" s="15" t="s">
        <v>575</v>
      </c>
      <c r="G655" s="18">
        <f>G656</f>
        <v>3893</v>
      </c>
    </row>
    <row r="656" spans="1:7" ht="17.25" customHeight="1">
      <c r="A656" s="16" t="s">
        <v>270</v>
      </c>
      <c r="B656" s="51" t="s">
        <v>1968</v>
      </c>
      <c r="C656" s="15" t="s">
        <v>1651</v>
      </c>
      <c r="D656" s="15" t="s">
        <v>1651</v>
      </c>
      <c r="E656" s="15" t="s">
        <v>610</v>
      </c>
      <c r="F656" s="15" t="s">
        <v>271</v>
      </c>
      <c r="G656" s="18">
        <f>G657</f>
        <v>3893</v>
      </c>
    </row>
    <row r="657" spans="1:7" ht="17.25" customHeight="1">
      <c r="A657" s="16" t="s">
        <v>269</v>
      </c>
      <c r="B657" s="51" t="s">
        <v>1968</v>
      </c>
      <c r="C657" s="15" t="s">
        <v>1651</v>
      </c>
      <c r="D657" s="15" t="s">
        <v>1651</v>
      </c>
      <c r="E657" s="15" t="s">
        <v>610</v>
      </c>
      <c r="F657" s="15" t="s">
        <v>570</v>
      </c>
      <c r="G657" s="18">
        <v>3893</v>
      </c>
    </row>
    <row r="658" spans="1:7" ht="15">
      <c r="A658" s="31" t="s">
        <v>1664</v>
      </c>
      <c r="B658" s="51" t="s">
        <v>1968</v>
      </c>
      <c r="C658" s="15" t="s">
        <v>1651</v>
      </c>
      <c r="D658" s="15" t="s">
        <v>1651</v>
      </c>
      <c r="E658" s="15" t="s">
        <v>1663</v>
      </c>
      <c r="F658" s="15"/>
      <c r="G658" s="18">
        <f>G659+G668</f>
        <v>24055.5</v>
      </c>
    </row>
    <row r="659" spans="1:7" ht="36">
      <c r="A659" s="118" t="s">
        <v>343</v>
      </c>
      <c r="B659" s="51" t="s">
        <v>1968</v>
      </c>
      <c r="C659" s="15" t="s">
        <v>1651</v>
      </c>
      <c r="D659" s="15" t="s">
        <v>1651</v>
      </c>
      <c r="E659" s="15" t="s">
        <v>1900</v>
      </c>
      <c r="F659" s="15" t="s">
        <v>575</v>
      </c>
      <c r="G659" s="18">
        <f>G660+G665</f>
        <v>760</v>
      </c>
    </row>
    <row r="660" spans="1:7" ht="24">
      <c r="A660" s="16" t="s">
        <v>270</v>
      </c>
      <c r="B660" s="51" t="s">
        <v>1968</v>
      </c>
      <c r="C660" s="15" t="s">
        <v>1651</v>
      </c>
      <c r="D660" s="15" t="s">
        <v>1651</v>
      </c>
      <c r="E660" s="15" t="s">
        <v>1900</v>
      </c>
      <c r="F660" s="15" t="s">
        <v>271</v>
      </c>
      <c r="G660" s="18">
        <f>G661</f>
        <v>600</v>
      </c>
    </row>
    <row r="661" spans="1:7" ht="24">
      <c r="A661" s="16" t="s">
        <v>1997</v>
      </c>
      <c r="B661" s="51" t="s">
        <v>1968</v>
      </c>
      <c r="C661" s="15" t="s">
        <v>1651</v>
      </c>
      <c r="D661" s="15" t="s">
        <v>1651</v>
      </c>
      <c r="E661" s="15" t="s">
        <v>1900</v>
      </c>
      <c r="F661" s="15" t="s">
        <v>180</v>
      </c>
      <c r="G661" s="18">
        <f>G662+G663+G664</f>
        <v>600</v>
      </c>
    </row>
    <row r="662" spans="1:7" ht="24">
      <c r="A662" s="16" t="s">
        <v>344</v>
      </c>
      <c r="B662" s="51" t="s">
        <v>1968</v>
      </c>
      <c r="C662" s="15" t="s">
        <v>1651</v>
      </c>
      <c r="D662" s="15" t="s">
        <v>1651</v>
      </c>
      <c r="E662" s="15" t="s">
        <v>1900</v>
      </c>
      <c r="F662" s="15" t="s">
        <v>180</v>
      </c>
      <c r="G662" s="18">
        <v>600</v>
      </c>
    </row>
    <row r="663" spans="1:7" ht="15.75" hidden="1">
      <c r="A663" s="16"/>
      <c r="B663" s="51"/>
      <c r="C663" s="15"/>
      <c r="D663" s="15"/>
      <c r="E663" s="15"/>
      <c r="F663" s="15"/>
      <c r="G663" s="18"/>
    </row>
    <row r="664" spans="1:7" ht="15.75" hidden="1">
      <c r="A664" s="16"/>
      <c r="B664" s="51"/>
      <c r="C664" s="15"/>
      <c r="D664" s="15"/>
      <c r="E664" s="15"/>
      <c r="F664" s="15"/>
      <c r="G664" s="18"/>
    </row>
    <row r="665" spans="1:7" ht="24">
      <c r="A665" s="16" t="s">
        <v>1432</v>
      </c>
      <c r="B665" s="51" t="s">
        <v>1968</v>
      </c>
      <c r="C665" s="15" t="s">
        <v>1651</v>
      </c>
      <c r="D665" s="15" t="s">
        <v>1651</v>
      </c>
      <c r="E665" s="15" t="s">
        <v>1900</v>
      </c>
      <c r="F665" s="15" t="s">
        <v>1433</v>
      </c>
      <c r="G665" s="18">
        <f>G666</f>
        <v>160</v>
      </c>
    </row>
    <row r="666" spans="1:7" ht="24">
      <c r="A666" s="16" t="s">
        <v>1027</v>
      </c>
      <c r="B666" s="51" t="s">
        <v>1968</v>
      </c>
      <c r="C666" s="15" t="s">
        <v>1651</v>
      </c>
      <c r="D666" s="15" t="s">
        <v>1651</v>
      </c>
      <c r="E666" s="15" t="s">
        <v>1900</v>
      </c>
      <c r="F666" s="15" t="s">
        <v>1196</v>
      </c>
      <c r="G666" s="18">
        <f>G667</f>
        <v>160</v>
      </c>
    </row>
    <row r="667" spans="1:7" ht="24">
      <c r="A667" s="16" t="s">
        <v>345</v>
      </c>
      <c r="B667" s="51" t="s">
        <v>1968</v>
      </c>
      <c r="C667" s="15" t="s">
        <v>1651</v>
      </c>
      <c r="D667" s="15" t="s">
        <v>1651</v>
      </c>
      <c r="E667" s="15" t="s">
        <v>1900</v>
      </c>
      <c r="F667" s="15" t="s">
        <v>1196</v>
      </c>
      <c r="G667" s="18">
        <v>160</v>
      </c>
    </row>
    <row r="668" spans="1:7" ht="24.75" customHeight="1">
      <c r="A668" s="16" t="s">
        <v>346</v>
      </c>
      <c r="B668" s="51" t="s">
        <v>1968</v>
      </c>
      <c r="C668" s="15" t="s">
        <v>1651</v>
      </c>
      <c r="D668" s="15" t="s">
        <v>1651</v>
      </c>
      <c r="E668" s="15" t="s">
        <v>136</v>
      </c>
      <c r="F668" s="15" t="s">
        <v>575</v>
      </c>
      <c r="G668" s="18">
        <f>G669</f>
        <v>23295.5</v>
      </c>
    </row>
    <row r="669" spans="1:7" ht="19.5" customHeight="1">
      <c r="A669" s="16" t="s">
        <v>270</v>
      </c>
      <c r="B669" s="51" t="s">
        <v>1968</v>
      </c>
      <c r="C669" s="15" t="s">
        <v>1651</v>
      </c>
      <c r="D669" s="15" t="s">
        <v>1651</v>
      </c>
      <c r="E669" s="15" t="s">
        <v>136</v>
      </c>
      <c r="F669" s="15" t="s">
        <v>271</v>
      </c>
      <c r="G669" s="18">
        <f>G670+G671</f>
        <v>23295.5</v>
      </c>
    </row>
    <row r="670" spans="1:7" ht="19.5" customHeight="1">
      <c r="A670" s="16" t="s">
        <v>269</v>
      </c>
      <c r="B670" s="51" t="s">
        <v>1968</v>
      </c>
      <c r="C670" s="15" t="s">
        <v>1651</v>
      </c>
      <c r="D670" s="15" t="s">
        <v>1651</v>
      </c>
      <c r="E670" s="15" t="s">
        <v>136</v>
      </c>
      <c r="F670" s="15" t="s">
        <v>570</v>
      </c>
      <c r="G670" s="18">
        <f>21377+867+898+189.5-3893</f>
        <v>19438.5</v>
      </c>
    </row>
    <row r="671" spans="1:7" ht="17.25" customHeight="1">
      <c r="A671" s="16" t="s">
        <v>1997</v>
      </c>
      <c r="B671" s="51" t="s">
        <v>1968</v>
      </c>
      <c r="C671" s="15" t="s">
        <v>1651</v>
      </c>
      <c r="D671" s="15" t="s">
        <v>1651</v>
      </c>
      <c r="E671" s="15" t="s">
        <v>136</v>
      </c>
      <c r="F671" s="15" t="s">
        <v>180</v>
      </c>
      <c r="G671" s="18">
        <f>G672+G673+G674+G675+G676</f>
        <v>3857</v>
      </c>
    </row>
    <row r="672" spans="1:7" ht="26.25" customHeight="1">
      <c r="A672" s="16" t="s">
        <v>347</v>
      </c>
      <c r="B672" s="51" t="s">
        <v>1968</v>
      </c>
      <c r="C672" s="15" t="s">
        <v>1651</v>
      </c>
      <c r="D672" s="15" t="s">
        <v>1651</v>
      </c>
      <c r="E672" s="15" t="s">
        <v>136</v>
      </c>
      <c r="F672" s="15" t="s">
        <v>180</v>
      </c>
      <c r="G672" s="18">
        <f>2500+120+167+300</f>
        <v>3087</v>
      </c>
    </row>
    <row r="673" spans="1:7" ht="26.25" customHeight="1">
      <c r="A673" s="16" t="s">
        <v>1998</v>
      </c>
      <c r="B673" s="51" t="s">
        <v>1968</v>
      </c>
      <c r="C673" s="15" t="s">
        <v>1651</v>
      </c>
      <c r="D673" s="15" t="s">
        <v>1651</v>
      </c>
      <c r="E673" s="15" t="s">
        <v>136</v>
      </c>
      <c r="F673" s="15" t="s">
        <v>180</v>
      </c>
      <c r="G673" s="18">
        <v>100</v>
      </c>
    </row>
    <row r="674" spans="1:7" ht="20.25" customHeight="1">
      <c r="A674" s="16" t="s">
        <v>1475</v>
      </c>
      <c r="B674" s="51" t="s">
        <v>1968</v>
      </c>
      <c r="C674" s="15" t="s">
        <v>1651</v>
      </c>
      <c r="D674" s="15" t="s">
        <v>1651</v>
      </c>
      <c r="E674" s="15" t="s">
        <v>136</v>
      </c>
      <c r="F674" s="15" t="s">
        <v>180</v>
      </c>
      <c r="G674" s="18">
        <v>156</v>
      </c>
    </row>
    <row r="675" spans="1:7" ht="26.25" customHeight="1">
      <c r="A675" s="16" t="s">
        <v>320</v>
      </c>
      <c r="B675" s="51" t="s">
        <v>1968</v>
      </c>
      <c r="C675" s="15" t="s">
        <v>1651</v>
      </c>
      <c r="D675" s="15" t="s">
        <v>1651</v>
      </c>
      <c r="E675" s="15" t="s">
        <v>136</v>
      </c>
      <c r="F675" s="15" t="s">
        <v>180</v>
      </c>
      <c r="G675" s="18">
        <v>214</v>
      </c>
    </row>
    <row r="676" spans="1:7" ht="26.25" customHeight="1">
      <c r="A676" s="16" t="s">
        <v>676</v>
      </c>
      <c r="B676" s="51" t="s">
        <v>1968</v>
      </c>
      <c r="C676" s="15" t="s">
        <v>1651</v>
      </c>
      <c r="D676" s="15" t="s">
        <v>1651</v>
      </c>
      <c r="E676" s="15" t="s">
        <v>136</v>
      </c>
      <c r="F676" s="15" t="s">
        <v>180</v>
      </c>
      <c r="G676" s="18">
        <v>300</v>
      </c>
    </row>
    <row r="677" spans="1:7" ht="15">
      <c r="A677" s="54" t="s">
        <v>1174</v>
      </c>
      <c r="B677" s="51" t="s">
        <v>1968</v>
      </c>
      <c r="C677" s="15" t="s">
        <v>1990</v>
      </c>
      <c r="D677" s="15"/>
      <c r="E677" s="15"/>
      <c r="F677" s="15"/>
      <c r="G677" s="18">
        <f>G678+G757</f>
        <v>355304.4</v>
      </c>
    </row>
    <row r="678" spans="1:7" ht="15">
      <c r="A678" s="29" t="s">
        <v>879</v>
      </c>
      <c r="B678" s="51" t="s">
        <v>1968</v>
      </c>
      <c r="C678" s="15" t="s">
        <v>1990</v>
      </c>
      <c r="D678" s="15" t="s">
        <v>1624</v>
      </c>
      <c r="E678" s="15"/>
      <c r="F678" s="15"/>
      <c r="G678" s="18">
        <f>G679+G693+G699+G711+G718+G731</f>
        <v>241507.00000000003</v>
      </c>
    </row>
    <row r="679" spans="1:7" ht="15">
      <c r="A679" s="30" t="s">
        <v>584</v>
      </c>
      <c r="B679" s="51" t="s">
        <v>1968</v>
      </c>
      <c r="C679" s="15" t="s">
        <v>1990</v>
      </c>
      <c r="D679" s="15" t="s">
        <v>1624</v>
      </c>
      <c r="E679" s="15" t="s">
        <v>881</v>
      </c>
      <c r="F679" s="15"/>
      <c r="G679" s="18">
        <f>G683+G680</f>
        <v>800</v>
      </c>
    </row>
    <row r="680" spans="1:7" ht="24.75" hidden="1">
      <c r="A680" s="35" t="s">
        <v>1565</v>
      </c>
      <c r="B680" s="51" t="s">
        <v>1968</v>
      </c>
      <c r="C680" s="15" t="s">
        <v>1990</v>
      </c>
      <c r="D680" s="15" t="s">
        <v>1624</v>
      </c>
      <c r="E680" s="15" t="s">
        <v>1566</v>
      </c>
      <c r="F680" s="15" t="s">
        <v>575</v>
      </c>
      <c r="G680" s="18">
        <f>G681</f>
        <v>0</v>
      </c>
    </row>
    <row r="681" spans="1:7" ht="24.75" hidden="1">
      <c r="A681" s="16" t="s">
        <v>1997</v>
      </c>
      <c r="B681" s="51" t="s">
        <v>1968</v>
      </c>
      <c r="C681" s="15" t="s">
        <v>1990</v>
      </c>
      <c r="D681" s="15" t="s">
        <v>1624</v>
      </c>
      <c r="E681" s="15" t="s">
        <v>1566</v>
      </c>
      <c r="F681" s="15" t="s">
        <v>180</v>
      </c>
      <c r="G681" s="18">
        <f>G682</f>
        <v>0</v>
      </c>
    </row>
    <row r="682" spans="1:7" ht="24.75" hidden="1">
      <c r="A682" s="16" t="s">
        <v>1171</v>
      </c>
      <c r="B682" s="51" t="s">
        <v>1968</v>
      </c>
      <c r="C682" s="15" t="s">
        <v>1990</v>
      </c>
      <c r="D682" s="15" t="s">
        <v>1624</v>
      </c>
      <c r="E682" s="15" t="s">
        <v>1566</v>
      </c>
      <c r="F682" s="15" t="s">
        <v>180</v>
      </c>
      <c r="G682" s="18"/>
    </row>
    <row r="683" spans="1:7" ht="24">
      <c r="A683" s="16" t="s">
        <v>2002</v>
      </c>
      <c r="B683" s="51" t="s">
        <v>1968</v>
      </c>
      <c r="C683" s="15" t="s">
        <v>1990</v>
      </c>
      <c r="D683" s="15" t="s">
        <v>1624</v>
      </c>
      <c r="E683" s="15" t="s">
        <v>43</v>
      </c>
      <c r="F683" s="15" t="s">
        <v>575</v>
      </c>
      <c r="G683" s="18">
        <f>G684+G689</f>
        <v>800</v>
      </c>
    </row>
    <row r="684" spans="1:7" ht="24">
      <c r="A684" s="16" t="s">
        <v>270</v>
      </c>
      <c r="B684" s="51" t="s">
        <v>1968</v>
      </c>
      <c r="C684" s="15" t="s">
        <v>1990</v>
      </c>
      <c r="D684" s="15" t="s">
        <v>1624</v>
      </c>
      <c r="E684" s="15" t="s">
        <v>43</v>
      </c>
      <c r="F684" s="15" t="s">
        <v>271</v>
      </c>
      <c r="G684" s="18">
        <f>G685+G686</f>
        <v>800</v>
      </c>
    </row>
    <row r="685" spans="1:7" ht="24.75" hidden="1">
      <c r="A685" s="16" t="s">
        <v>269</v>
      </c>
      <c r="B685" s="51" t="s">
        <v>1968</v>
      </c>
      <c r="C685" s="15" t="s">
        <v>1990</v>
      </c>
      <c r="D685" s="15" t="s">
        <v>1624</v>
      </c>
      <c r="E685" s="15" t="s">
        <v>43</v>
      </c>
      <c r="F685" s="15" t="s">
        <v>570</v>
      </c>
      <c r="G685" s="18"/>
    </row>
    <row r="686" spans="1:7" ht="24">
      <c r="A686" s="16" t="s">
        <v>1997</v>
      </c>
      <c r="B686" s="51" t="s">
        <v>1968</v>
      </c>
      <c r="C686" s="15" t="s">
        <v>1990</v>
      </c>
      <c r="D686" s="15" t="s">
        <v>1624</v>
      </c>
      <c r="E686" s="15" t="s">
        <v>1362</v>
      </c>
      <c r="F686" s="15" t="s">
        <v>180</v>
      </c>
      <c r="G686" s="18">
        <f>G687+G688</f>
        <v>800</v>
      </c>
    </row>
    <row r="687" spans="1:7" ht="24.75" hidden="1">
      <c r="A687" s="16" t="s">
        <v>1172</v>
      </c>
      <c r="B687" s="51" t="s">
        <v>1968</v>
      </c>
      <c r="C687" s="15" t="s">
        <v>1990</v>
      </c>
      <c r="D687" s="15" t="s">
        <v>1624</v>
      </c>
      <c r="E687" s="15" t="s">
        <v>1362</v>
      </c>
      <c r="F687" s="15" t="s">
        <v>180</v>
      </c>
      <c r="G687" s="18"/>
    </row>
    <row r="688" spans="1:7" ht="24">
      <c r="A688" s="168" t="s">
        <v>1187</v>
      </c>
      <c r="B688" s="51" t="s">
        <v>1968</v>
      </c>
      <c r="C688" s="15" t="s">
        <v>1990</v>
      </c>
      <c r="D688" s="15" t="s">
        <v>1624</v>
      </c>
      <c r="E688" s="15" t="s">
        <v>1362</v>
      </c>
      <c r="F688" s="15" t="s">
        <v>180</v>
      </c>
      <c r="G688" s="18">
        <v>800</v>
      </c>
    </row>
    <row r="689" spans="1:7" ht="24.75" hidden="1">
      <c r="A689" s="16" t="s">
        <v>1432</v>
      </c>
      <c r="B689" s="51" t="s">
        <v>1968</v>
      </c>
      <c r="C689" s="15" t="s">
        <v>1990</v>
      </c>
      <c r="D689" s="15" t="s">
        <v>1624</v>
      </c>
      <c r="E689" s="15" t="s">
        <v>43</v>
      </c>
      <c r="F689" s="15" t="s">
        <v>1433</v>
      </c>
      <c r="G689" s="18">
        <f>G690+G691</f>
        <v>0</v>
      </c>
    </row>
    <row r="690" spans="1:7" ht="24.75" hidden="1">
      <c r="A690" s="16" t="s">
        <v>395</v>
      </c>
      <c r="B690" s="51" t="s">
        <v>1968</v>
      </c>
      <c r="C690" s="15" t="s">
        <v>1990</v>
      </c>
      <c r="D690" s="15" t="s">
        <v>1624</v>
      </c>
      <c r="E690" s="15" t="s">
        <v>43</v>
      </c>
      <c r="F690" s="15" t="s">
        <v>1434</v>
      </c>
      <c r="G690" s="18"/>
    </row>
    <row r="691" spans="1:7" ht="24.75" hidden="1">
      <c r="A691" s="16" t="s">
        <v>1027</v>
      </c>
      <c r="B691" s="51" t="s">
        <v>1968</v>
      </c>
      <c r="C691" s="15" t="s">
        <v>1990</v>
      </c>
      <c r="D691" s="15" t="s">
        <v>1624</v>
      </c>
      <c r="E691" s="15" t="s">
        <v>43</v>
      </c>
      <c r="F691" s="15" t="s">
        <v>1196</v>
      </c>
      <c r="G691" s="18">
        <f>G692</f>
        <v>0</v>
      </c>
    </row>
    <row r="692" spans="1:7" ht="36" hidden="1">
      <c r="A692" s="16" t="s">
        <v>2020</v>
      </c>
      <c r="B692" s="51" t="s">
        <v>1968</v>
      </c>
      <c r="C692" s="15" t="s">
        <v>1990</v>
      </c>
      <c r="D692" s="15" t="s">
        <v>1624</v>
      </c>
      <c r="E692" s="15" t="s">
        <v>43</v>
      </c>
      <c r="F692" s="15" t="s">
        <v>1196</v>
      </c>
      <c r="G692" s="18"/>
    </row>
    <row r="693" spans="1:7" ht="15">
      <c r="A693" s="30" t="s">
        <v>709</v>
      </c>
      <c r="B693" s="51" t="s">
        <v>1968</v>
      </c>
      <c r="C693" s="15" t="s">
        <v>1990</v>
      </c>
      <c r="D693" s="15" t="s">
        <v>1624</v>
      </c>
      <c r="E693" s="15" t="s">
        <v>22</v>
      </c>
      <c r="F693" s="15"/>
      <c r="G693" s="18">
        <f>G694</f>
        <v>25</v>
      </c>
    </row>
    <row r="694" spans="1:7" ht="24">
      <c r="A694" s="16" t="s">
        <v>2002</v>
      </c>
      <c r="B694" s="51" t="s">
        <v>1968</v>
      </c>
      <c r="C694" s="15" t="s">
        <v>1990</v>
      </c>
      <c r="D694" s="15" t="s">
        <v>1624</v>
      </c>
      <c r="E694" s="15" t="s">
        <v>44</v>
      </c>
      <c r="F694" s="15" t="s">
        <v>575</v>
      </c>
      <c r="G694" s="18">
        <f>G695</f>
        <v>25</v>
      </c>
    </row>
    <row r="695" spans="1:7" ht="24">
      <c r="A695" s="16" t="s">
        <v>270</v>
      </c>
      <c r="B695" s="51" t="s">
        <v>1968</v>
      </c>
      <c r="C695" s="15" t="s">
        <v>1990</v>
      </c>
      <c r="D695" s="15" t="s">
        <v>1624</v>
      </c>
      <c r="E695" s="15" t="s">
        <v>44</v>
      </c>
      <c r="F695" s="15" t="s">
        <v>271</v>
      </c>
      <c r="G695" s="18">
        <f>G696+G697</f>
        <v>25</v>
      </c>
    </row>
    <row r="696" spans="1:7" ht="24.75" hidden="1">
      <c r="A696" s="16" t="s">
        <v>269</v>
      </c>
      <c r="B696" s="51" t="s">
        <v>1968</v>
      </c>
      <c r="C696" s="15" t="s">
        <v>1990</v>
      </c>
      <c r="D696" s="15" t="s">
        <v>1624</v>
      </c>
      <c r="E696" s="15" t="s">
        <v>44</v>
      </c>
      <c r="F696" s="15" t="s">
        <v>570</v>
      </c>
      <c r="G696" s="18"/>
    </row>
    <row r="697" spans="1:7" ht="24">
      <c r="A697" s="168" t="s">
        <v>1997</v>
      </c>
      <c r="B697" s="51" t="s">
        <v>1968</v>
      </c>
      <c r="C697" s="15" t="s">
        <v>1990</v>
      </c>
      <c r="D697" s="15" t="s">
        <v>1624</v>
      </c>
      <c r="E697" s="15" t="s">
        <v>44</v>
      </c>
      <c r="F697" s="15" t="s">
        <v>180</v>
      </c>
      <c r="G697" s="18">
        <f>G698</f>
        <v>25</v>
      </c>
    </row>
    <row r="698" spans="1:7" ht="24">
      <c r="A698" s="168" t="s">
        <v>1187</v>
      </c>
      <c r="B698" s="51" t="s">
        <v>1968</v>
      </c>
      <c r="C698" s="15" t="s">
        <v>1990</v>
      </c>
      <c r="D698" s="15" t="s">
        <v>1624</v>
      </c>
      <c r="E698" s="15" t="s">
        <v>44</v>
      </c>
      <c r="F698" s="15" t="s">
        <v>180</v>
      </c>
      <c r="G698" s="18">
        <v>25</v>
      </c>
    </row>
    <row r="699" spans="1:7" ht="15">
      <c r="A699" s="30" t="s">
        <v>710</v>
      </c>
      <c r="B699" s="51" t="s">
        <v>1968</v>
      </c>
      <c r="C699" s="15" t="s">
        <v>1990</v>
      </c>
      <c r="D699" s="15" t="s">
        <v>1624</v>
      </c>
      <c r="E699" s="15" t="s">
        <v>23</v>
      </c>
      <c r="F699" s="15"/>
      <c r="G699" s="18">
        <f>G700+G702</f>
        <v>372</v>
      </c>
    </row>
    <row r="700" spans="1:7" ht="36" hidden="1">
      <c r="A700" s="35" t="s">
        <v>401</v>
      </c>
      <c r="B700" s="51" t="s">
        <v>1968</v>
      </c>
      <c r="C700" s="15" t="s">
        <v>1990</v>
      </c>
      <c r="D700" s="15" t="s">
        <v>1624</v>
      </c>
      <c r="E700" s="15" t="s">
        <v>901</v>
      </c>
      <c r="F700" s="15" t="s">
        <v>575</v>
      </c>
      <c r="G700" s="18">
        <f>G701</f>
        <v>0</v>
      </c>
    </row>
    <row r="701" spans="1:7" ht="24.75" hidden="1">
      <c r="A701" s="16" t="s">
        <v>1997</v>
      </c>
      <c r="B701" s="51" t="s">
        <v>1968</v>
      </c>
      <c r="C701" s="15" t="s">
        <v>1990</v>
      </c>
      <c r="D701" s="15" t="s">
        <v>1624</v>
      </c>
      <c r="E701" s="15" t="s">
        <v>901</v>
      </c>
      <c r="F701" s="15" t="s">
        <v>180</v>
      </c>
      <c r="G701" s="18"/>
    </row>
    <row r="702" spans="1:7" ht="24">
      <c r="A702" s="16" t="s">
        <v>2002</v>
      </c>
      <c r="B702" s="51" t="s">
        <v>1968</v>
      </c>
      <c r="C702" s="15" t="s">
        <v>1990</v>
      </c>
      <c r="D702" s="15" t="s">
        <v>1624</v>
      </c>
      <c r="E702" s="15" t="s">
        <v>45</v>
      </c>
      <c r="F702" s="15" t="s">
        <v>575</v>
      </c>
      <c r="G702" s="18">
        <f>G703</f>
        <v>372</v>
      </c>
    </row>
    <row r="703" spans="1:7" ht="24">
      <c r="A703" s="16" t="s">
        <v>270</v>
      </c>
      <c r="B703" s="51" t="s">
        <v>1968</v>
      </c>
      <c r="C703" s="15" t="s">
        <v>1990</v>
      </c>
      <c r="D703" s="15" t="s">
        <v>1624</v>
      </c>
      <c r="E703" s="15" t="s">
        <v>45</v>
      </c>
      <c r="F703" s="15" t="s">
        <v>271</v>
      </c>
      <c r="G703" s="18">
        <f>G704+G705+G708</f>
        <v>372</v>
      </c>
    </row>
    <row r="704" spans="1:7" ht="24.75" hidden="1">
      <c r="A704" s="16" t="s">
        <v>269</v>
      </c>
      <c r="B704" s="51" t="s">
        <v>1968</v>
      </c>
      <c r="C704" s="15" t="s">
        <v>1990</v>
      </c>
      <c r="D704" s="15" t="s">
        <v>1624</v>
      </c>
      <c r="E704" s="15" t="s">
        <v>45</v>
      </c>
      <c r="F704" s="15" t="s">
        <v>570</v>
      </c>
      <c r="G704" s="18"/>
    </row>
    <row r="705" spans="1:7" ht="24">
      <c r="A705" s="16" t="s">
        <v>1997</v>
      </c>
      <c r="B705" s="51" t="s">
        <v>1968</v>
      </c>
      <c r="C705" s="15" t="s">
        <v>1990</v>
      </c>
      <c r="D705" s="15" t="s">
        <v>1624</v>
      </c>
      <c r="E705" s="15" t="s">
        <v>45</v>
      </c>
      <c r="F705" s="15" t="s">
        <v>180</v>
      </c>
      <c r="G705" s="18">
        <f>G706+G707</f>
        <v>372</v>
      </c>
    </row>
    <row r="706" spans="1:7" ht="24">
      <c r="A706" s="168" t="s">
        <v>1187</v>
      </c>
      <c r="B706" s="51" t="s">
        <v>1968</v>
      </c>
      <c r="C706" s="15" t="s">
        <v>1990</v>
      </c>
      <c r="D706" s="15" t="s">
        <v>1624</v>
      </c>
      <c r="E706" s="15" t="s">
        <v>45</v>
      </c>
      <c r="F706" s="15" t="s">
        <v>180</v>
      </c>
      <c r="G706" s="18">
        <f>372-48.6-74.4</f>
        <v>248.99999999999997</v>
      </c>
    </row>
    <row r="707" spans="1:7" ht="24">
      <c r="A707" s="16" t="s">
        <v>654</v>
      </c>
      <c r="B707" s="51" t="s">
        <v>1968</v>
      </c>
      <c r="C707" s="15" t="s">
        <v>1990</v>
      </c>
      <c r="D707" s="15" t="s">
        <v>1624</v>
      </c>
      <c r="E707" s="15" t="s">
        <v>45</v>
      </c>
      <c r="F707" s="15" t="s">
        <v>180</v>
      </c>
      <c r="G707" s="18">
        <f>48.6+74.4</f>
        <v>123</v>
      </c>
    </row>
    <row r="708" spans="1:7" ht="24.75" hidden="1">
      <c r="A708" s="16" t="s">
        <v>1997</v>
      </c>
      <c r="B708" s="51" t="s">
        <v>1968</v>
      </c>
      <c r="C708" s="15" t="s">
        <v>1990</v>
      </c>
      <c r="D708" s="15" t="s">
        <v>1624</v>
      </c>
      <c r="E708" s="15" t="s">
        <v>371</v>
      </c>
      <c r="F708" s="15" t="s">
        <v>180</v>
      </c>
      <c r="G708" s="18">
        <f>G709+G710</f>
        <v>0</v>
      </c>
    </row>
    <row r="709" spans="1:7" ht="24.75" hidden="1">
      <c r="A709" s="16" t="s">
        <v>369</v>
      </c>
      <c r="B709" s="51" t="s">
        <v>1968</v>
      </c>
      <c r="C709" s="15" t="s">
        <v>1990</v>
      </c>
      <c r="D709" s="15" t="s">
        <v>1624</v>
      </c>
      <c r="E709" s="15" t="s">
        <v>371</v>
      </c>
      <c r="F709" s="15" t="s">
        <v>180</v>
      </c>
      <c r="G709" s="18"/>
    </row>
    <row r="710" spans="1:7" ht="24.75" hidden="1">
      <c r="A710" s="16" t="s">
        <v>423</v>
      </c>
      <c r="B710" s="51" t="s">
        <v>1968</v>
      </c>
      <c r="C710" s="15" t="s">
        <v>1990</v>
      </c>
      <c r="D710" s="15" t="s">
        <v>1624</v>
      </c>
      <c r="E710" s="15" t="s">
        <v>371</v>
      </c>
      <c r="F710" s="15" t="s">
        <v>180</v>
      </c>
      <c r="G710" s="18"/>
    </row>
    <row r="711" spans="1:7" ht="15.75" hidden="1">
      <c r="A711" s="30" t="s">
        <v>517</v>
      </c>
      <c r="B711" s="51" t="s">
        <v>1968</v>
      </c>
      <c r="C711" s="15" t="s">
        <v>1990</v>
      </c>
      <c r="D711" s="15" t="s">
        <v>1624</v>
      </c>
      <c r="E711" s="15" t="s">
        <v>707</v>
      </c>
      <c r="F711" s="15"/>
      <c r="G711" s="18">
        <f>G714</f>
        <v>0</v>
      </c>
    </row>
    <row r="712" spans="1:7" ht="22.5" customHeight="1" hidden="1">
      <c r="A712" s="35" t="s">
        <v>16</v>
      </c>
      <c r="B712" s="51" t="s">
        <v>1968</v>
      </c>
      <c r="C712" s="15" t="s">
        <v>1990</v>
      </c>
      <c r="D712" s="15" t="s">
        <v>1624</v>
      </c>
      <c r="E712" s="15" t="s">
        <v>1992</v>
      </c>
      <c r="F712" s="15"/>
      <c r="G712" s="18">
        <f>G713</f>
        <v>0</v>
      </c>
    </row>
    <row r="713" spans="1:7" ht="19.5" customHeight="1" hidden="1">
      <c r="A713" s="16" t="s">
        <v>359</v>
      </c>
      <c r="B713" s="51" t="s">
        <v>1968</v>
      </c>
      <c r="C713" s="15" t="s">
        <v>1990</v>
      </c>
      <c r="D713" s="15" t="s">
        <v>1624</v>
      </c>
      <c r="E713" s="15" t="s">
        <v>1992</v>
      </c>
      <c r="F713" s="15" t="s">
        <v>360</v>
      </c>
      <c r="G713" s="18">
        <v>0</v>
      </c>
    </row>
    <row r="714" spans="1:7" ht="24.75" hidden="1">
      <c r="A714" s="16" t="s">
        <v>1632</v>
      </c>
      <c r="B714" s="51" t="s">
        <v>1968</v>
      </c>
      <c r="C714" s="15" t="s">
        <v>1990</v>
      </c>
      <c r="D714" s="15" t="s">
        <v>1624</v>
      </c>
      <c r="E714" s="15" t="s">
        <v>46</v>
      </c>
      <c r="F714" s="15" t="s">
        <v>575</v>
      </c>
      <c r="G714" s="18">
        <f>G715+G716</f>
        <v>0</v>
      </c>
    </row>
    <row r="715" spans="1:7" ht="24.75" hidden="1">
      <c r="A715" s="16" t="s">
        <v>230</v>
      </c>
      <c r="B715" s="51" t="s">
        <v>1968</v>
      </c>
      <c r="C715" s="15" t="s">
        <v>1990</v>
      </c>
      <c r="D715" s="15" t="s">
        <v>1624</v>
      </c>
      <c r="E715" s="15" t="s">
        <v>46</v>
      </c>
      <c r="F715" s="15" t="s">
        <v>17</v>
      </c>
      <c r="G715" s="18"/>
    </row>
    <row r="716" spans="1:7" ht="24.75" hidden="1">
      <c r="A716" s="16" t="s">
        <v>368</v>
      </c>
      <c r="B716" s="51" t="s">
        <v>1968</v>
      </c>
      <c r="C716" s="15" t="s">
        <v>1990</v>
      </c>
      <c r="D716" s="15" t="s">
        <v>1624</v>
      </c>
      <c r="E716" s="15" t="s">
        <v>46</v>
      </c>
      <c r="F716" s="15" t="s">
        <v>180</v>
      </c>
      <c r="G716" s="18">
        <f>G717</f>
        <v>0</v>
      </c>
    </row>
    <row r="717" spans="1:7" ht="24.75" hidden="1">
      <c r="A717" s="16" t="s">
        <v>1567</v>
      </c>
      <c r="B717" s="51" t="s">
        <v>1968</v>
      </c>
      <c r="C717" s="15" t="s">
        <v>1990</v>
      </c>
      <c r="D717" s="15" t="s">
        <v>1624</v>
      </c>
      <c r="E717" s="15" t="s">
        <v>46</v>
      </c>
      <c r="F717" s="15" t="s">
        <v>180</v>
      </c>
      <c r="G717" s="18">
        <v>0</v>
      </c>
    </row>
    <row r="718" spans="1:7" ht="15">
      <c r="A718" s="159" t="s">
        <v>1148</v>
      </c>
      <c r="B718" s="51" t="s">
        <v>1968</v>
      </c>
      <c r="C718" s="15" t="s">
        <v>1990</v>
      </c>
      <c r="D718" s="15" t="s">
        <v>1624</v>
      </c>
      <c r="E718" s="15" t="s">
        <v>1149</v>
      </c>
      <c r="F718" s="15"/>
      <c r="G718" s="18">
        <f>G719+G725</f>
        <v>8746.6</v>
      </c>
    </row>
    <row r="719" spans="1:7" ht="36">
      <c r="A719" s="35" t="s">
        <v>145</v>
      </c>
      <c r="B719" s="51" t="s">
        <v>1968</v>
      </c>
      <c r="C719" s="15" t="s">
        <v>1990</v>
      </c>
      <c r="D719" s="15" t="s">
        <v>1624</v>
      </c>
      <c r="E719" s="15" t="s">
        <v>143</v>
      </c>
      <c r="F719" s="15"/>
      <c r="G719" s="18">
        <f>G720</f>
        <v>5000</v>
      </c>
    </row>
    <row r="720" spans="1:7" ht="24">
      <c r="A720" s="35" t="s">
        <v>352</v>
      </c>
      <c r="B720" s="51" t="s">
        <v>1968</v>
      </c>
      <c r="C720" s="15" t="s">
        <v>1990</v>
      </c>
      <c r="D720" s="15" t="s">
        <v>1624</v>
      </c>
      <c r="E720" s="15" t="s">
        <v>353</v>
      </c>
      <c r="F720" s="15" t="s">
        <v>575</v>
      </c>
      <c r="G720" s="18">
        <f>G721</f>
        <v>5000</v>
      </c>
    </row>
    <row r="721" spans="1:7" ht="24">
      <c r="A721" s="16" t="s">
        <v>270</v>
      </c>
      <c r="B721" s="51" t="s">
        <v>1968</v>
      </c>
      <c r="C721" s="15" t="s">
        <v>1990</v>
      </c>
      <c r="D721" s="15" t="s">
        <v>1624</v>
      </c>
      <c r="E721" s="15" t="s">
        <v>353</v>
      </c>
      <c r="F721" s="15" t="s">
        <v>271</v>
      </c>
      <c r="G721" s="18">
        <f>G722</f>
        <v>5000</v>
      </c>
    </row>
    <row r="722" spans="1:7" ht="24">
      <c r="A722" s="16" t="s">
        <v>1997</v>
      </c>
      <c r="B722" s="51" t="s">
        <v>1968</v>
      </c>
      <c r="C722" s="15" t="s">
        <v>1990</v>
      </c>
      <c r="D722" s="15" t="s">
        <v>1624</v>
      </c>
      <c r="E722" s="15" t="s">
        <v>353</v>
      </c>
      <c r="F722" s="15" t="s">
        <v>180</v>
      </c>
      <c r="G722" s="18">
        <f>G723+G724</f>
        <v>5000</v>
      </c>
    </row>
    <row r="723" spans="1:7" ht="24">
      <c r="A723" s="16" t="s">
        <v>374</v>
      </c>
      <c r="B723" s="51" t="s">
        <v>1968</v>
      </c>
      <c r="C723" s="15" t="s">
        <v>1990</v>
      </c>
      <c r="D723" s="15" t="s">
        <v>1624</v>
      </c>
      <c r="E723" s="15" t="s">
        <v>353</v>
      </c>
      <c r="F723" s="15" t="s">
        <v>180</v>
      </c>
      <c r="G723" s="18">
        <v>4000</v>
      </c>
    </row>
    <row r="724" spans="1:7" ht="24">
      <c r="A724" s="16" t="s">
        <v>20</v>
      </c>
      <c r="B724" s="51" t="s">
        <v>1968</v>
      </c>
      <c r="C724" s="15" t="s">
        <v>1990</v>
      </c>
      <c r="D724" s="15" t="s">
        <v>1624</v>
      </c>
      <c r="E724" s="15" t="s">
        <v>353</v>
      </c>
      <c r="F724" s="15" t="s">
        <v>180</v>
      </c>
      <c r="G724" s="18">
        <v>1000</v>
      </c>
    </row>
    <row r="725" spans="1:7" ht="36">
      <c r="A725" s="35" t="s">
        <v>310</v>
      </c>
      <c r="B725" s="51" t="s">
        <v>1968</v>
      </c>
      <c r="C725" s="15" t="s">
        <v>1990</v>
      </c>
      <c r="D725" s="15" t="s">
        <v>1624</v>
      </c>
      <c r="E725" s="15" t="s">
        <v>789</v>
      </c>
      <c r="F725" s="15"/>
      <c r="G725" s="18">
        <f>G726</f>
        <v>3746.6</v>
      </c>
    </row>
    <row r="726" spans="1:7" ht="48">
      <c r="A726" s="35" t="s">
        <v>790</v>
      </c>
      <c r="B726" s="51" t="s">
        <v>1968</v>
      </c>
      <c r="C726" s="15" t="s">
        <v>1990</v>
      </c>
      <c r="D726" s="15" t="s">
        <v>1624</v>
      </c>
      <c r="E726" s="15" t="s">
        <v>791</v>
      </c>
      <c r="F726" s="15" t="s">
        <v>575</v>
      </c>
      <c r="G726" s="18">
        <f>G727+G729</f>
        <v>3746.6</v>
      </c>
    </row>
    <row r="727" spans="1:7" ht="24">
      <c r="A727" s="16" t="s">
        <v>270</v>
      </c>
      <c r="B727" s="51" t="s">
        <v>1968</v>
      </c>
      <c r="C727" s="15" t="s">
        <v>1990</v>
      </c>
      <c r="D727" s="15" t="s">
        <v>1624</v>
      </c>
      <c r="E727" s="15" t="s">
        <v>791</v>
      </c>
      <c r="F727" s="15" t="s">
        <v>271</v>
      </c>
      <c r="G727" s="18">
        <f>G728</f>
        <v>3109.1</v>
      </c>
    </row>
    <row r="728" spans="1:7" ht="24">
      <c r="A728" s="16" t="s">
        <v>269</v>
      </c>
      <c r="B728" s="51" t="s">
        <v>1968</v>
      </c>
      <c r="C728" s="15" t="s">
        <v>1990</v>
      </c>
      <c r="D728" s="15" t="s">
        <v>1624</v>
      </c>
      <c r="E728" s="15" t="s">
        <v>791</v>
      </c>
      <c r="F728" s="15" t="s">
        <v>570</v>
      </c>
      <c r="G728" s="18">
        <v>3109.1</v>
      </c>
    </row>
    <row r="729" spans="1:7" ht="24">
      <c r="A729" s="16" t="s">
        <v>396</v>
      </c>
      <c r="B729" s="51" t="s">
        <v>1968</v>
      </c>
      <c r="C729" s="15" t="s">
        <v>1990</v>
      </c>
      <c r="D729" s="15" t="s">
        <v>1624</v>
      </c>
      <c r="E729" s="15" t="s">
        <v>791</v>
      </c>
      <c r="F729" s="15" t="s">
        <v>1433</v>
      </c>
      <c r="G729" s="18">
        <f>G730</f>
        <v>637.5</v>
      </c>
    </row>
    <row r="730" spans="1:7" ht="24">
      <c r="A730" s="16" t="s">
        <v>395</v>
      </c>
      <c r="B730" s="51" t="s">
        <v>1968</v>
      </c>
      <c r="C730" s="15" t="s">
        <v>1990</v>
      </c>
      <c r="D730" s="15" t="s">
        <v>1624</v>
      </c>
      <c r="E730" s="15" t="s">
        <v>791</v>
      </c>
      <c r="F730" s="15" t="s">
        <v>1434</v>
      </c>
      <c r="G730" s="18">
        <v>637.5</v>
      </c>
    </row>
    <row r="731" spans="1:7" ht="15">
      <c r="A731" s="31" t="s">
        <v>1664</v>
      </c>
      <c r="B731" s="51" t="s">
        <v>1968</v>
      </c>
      <c r="C731" s="15" t="s">
        <v>1990</v>
      </c>
      <c r="D731" s="15" t="s">
        <v>1624</v>
      </c>
      <c r="E731" s="15" t="s">
        <v>1663</v>
      </c>
      <c r="F731" s="15"/>
      <c r="G731" s="18">
        <f>G732</f>
        <v>231563.40000000002</v>
      </c>
    </row>
    <row r="732" spans="1:7" ht="24">
      <c r="A732" s="16" t="s">
        <v>289</v>
      </c>
      <c r="B732" s="51" t="s">
        <v>1968</v>
      </c>
      <c r="C732" s="15" t="s">
        <v>1990</v>
      </c>
      <c r="D732" s="15" t="s">
        <v>1624</v>
      </c>
      <c r="E732" s="15" t="s">
        <v>702</v>
      </c>
      <c r="F732" s="15" t="s">
        <v>575</v>
      </c>
      <c r="G732" s="18">
        <f>G733+G734+G749</f>
        <v>231563.40000000002</v>
      </c>
    </row>
    <row r="733" spans="1:7" ht="16.5" customHeight="1" hidden="1">
      <c r="A733" s="16" t="s">
        <v>230</v>
      </c>
      <c r="B733" s="51" t="s">
        <v>1968</v>
      </c>
      <c r="C733" s="15" t="s">
        <v>1990</v>
      </c>
      <c r="D733" s="15" t="s">
        <v>1624</v>
      </c>
      <c r="E733" s="15" t="s">
        <v>702</v>
      </c>
      <c r="F733" s="15" t="s">
        <v>17</v>
      </c>
      <c r="G733" s="18"/>
    </row>
    <row r="734" spans="1:7" ht="24">
      <c r="A734" s="16" t="s">
        <v>270</v>
      </c>
      <c r="B734" s="51" t="s">
        <v>1968</v>
      </c>
      <c r="C734" s="15" t="s">
        <v>1990</v>
      </c>
      <c r="D734" s="15" t="s">
        <v>1624</v>
      </c>
      <c r="E734" s="52" t="s">
        <v>702</v>
      </c>
      <c r="F734" s="52" t="s">
        <v>271</v>
      </c>
      <c r="G734" s="18">
        <f>G735+G736</f>
        <v>201762.90000000002</v>
      </c>
    </row>
    <row r="735" spans="1:7" ht="24">
      <c r="A735" s="16" t="s">
        <v>269</v>
      </c>
      <c r="B735" s="51" t="s">
        <v>1968</v>
      </c>
      <c r="C735" s="15" t="s">
        <v>1990</v>
      </c>
      <c r="D735" s="15" t="s">
        <v>1624</v>
      </c>
      <c r="E735" s="52" t="s">
        <v>702</v>
      </c>
      <c r="F735" s="52" t="s">
        <v>570</v>
      </c>
      <c r="G735" s="18">
        <f>176425+3332+3109.1-157.3</f>
        <v>182708.80000000002</v>
      </c>
    </row>
    <row r="736" spans="1:7" ht="24">
      <c r="A736" s="16" t="s">
        <v>1997</v>
      </c>
      <c r="B736" s="51" t="s">
        <v>1968</v>
      </c>
      <c r="C736" s="15" t="s">
        <v>1990</v>
      </c>
      <c r="D736" s="15" t="s">
        <v>1624</v>
      </c>
      <c r="E736" s="52" t="s">
        <v>702</v>
      </c>
      <c r="F736" s="52" t="s">
        <v>180</v>
      </c>
      <c r="G736" s="18">
        <f>G737+G738+G739+G741+G743+G742+G744+G745+G746+G747+G748+G740</f>
        <v>19054.1</v>
      </c>
    </row>
    <row r="737" spans="1:7" ht="24">
      <c r="A737" s="16" t="s">
        <v>1153</v>
      </c>
      <c r="B737" s="51" t="s">
        <v>1968</v>
      </c>
      <c r="C737" s="15" t="s">
        <v>1990</v>
      </c>
      <c r="D737" s="15" t="s">
        <v>1624</v>
      </c>
      <c r="E737" s="52" t="s">
        <v>702</v>
      </c>
      <c r="F737" s="52" t="s">
        <v>180</v>
      </c>
      <c r="G737" s="18">
        <f>7402+580+360+350+100+300+300+149+148.3</f>
        <v>9689.3</v>
      </c>
    </row>
    <row r="738" spans="1:7" ht="24">
      <c r="A738" s="16" t="s">
        <v>236</v>
      </c>
      <c r="B738" s="51" t="s">
        <v>1968</v>
      </c>
      <c r="C738" s="15" t="s">
        <v>1990</v>
      </c>
      <c r="D738" s="15" t="s">
        <v>1624</v>
      </c>
      <c r="E738" s="52" t="s">
        <v>702</v>
      </c>
      <c r="F738" s="52" t="s">
        <v>180</v>
      </c>
      <c r="G738" s="18">
        <f>300+500</f>
        <v>800</v>
      </c>
    </row>
    <row r="739" spans="1:7" ht="24">
      <c r="A739" s="16" t="s">
        <v>189</v>
      </c>
      <c r="B739" s="51" t="s">
        <v>1968</v>
      </c>
      <c r="C739" s="15" t="s">
        <v>1990</v>
      </c>
      <c r="D739" s="15" t="s">
        <v>1624</v>
      </c>
      <c r="E739" s="52" t="s">
        <v>702</v>
      </c>
      <c r="F739" s="52" t="s">
        <v>180</v>
      </c>
      <c r="G739" s="18">
        <v>685.5</v>
      </c>
    </row>
    <row r="740" spans="1:7" ht="24.75" hidden="1">
      <c r="A740" s="16"/>
      <c r="B740" s="51" t="s">
        <v>1968</v>
      </c>
      <c r="C740" s="15" t="s">
        <v>1990</v>
      </c>
      <c r="D740" s="15" t="s">
        <v>1624</v>
      </c>
      <c r="E740" s="52" t="s">
        <v>702</v>
      </c>
      <c r="F740" s="52" t="s">
        <v>180</v>
      </c>
      <c r="G740" s="18">
        <v>0</v>
      </c>
    </row>
    <row r="741" spans="1:7" ht="24">
      <c r="A741" s="16" t="s">
        <v>321</v>
      </c>
      <c r="B741" s="51" t="s">
        <v>1968</v>
      </c>
      <c r="C741" s="15" t="s">
        <v>1990</v>
      </c>
      <c r="D741" s="15" t="s">
        <v>1624</v>
      </c>
      <c r="E741" s="52" t="s">
        <v>702</v>
      </c>
      <c r="F741" s="52" t="s">
        <v>180</v>
      </c>
      <c r="G741" s="18">
        <v>157.3</v>
      </c>
    </row>
    <row r="742" spans="1:7" ht="24">
      <c r="A742" s="16" t="s">
        <v>798</v>
      </c>
      <c r="B742" s="51" t="s">
        <v>1968</v>
      </c>
      <c r="C742" s="15" t="s">
        <v>1990</v>
      </c>
      <c r="D742" s="15" t="s">
        <v>1624</v>
      </c>
      <c r="E742" s="52" t="s">
        <v>348</v>
      </c>
      <c r="F742" s="52" t="s">
        <v>180</v>
      </c>
      <c r="G742" s="18">
        <f>3020.5-546.3</f>
        <v>2474.2</v>
      </c>
    </row>
    <row r="743" spans="1:7" ht="24">
      <c r="A743" s="16" t="s">
        <v>1472</v>
      </c>
      <c r="B743" s="51" t="s">
        <v>1968</v>
      </c>
      <c r="C743" s="15" t="s">
        <v>1990</v>
      </c>
      <c r="D743" s="15" t="s">
        <v>1624</v>
      </c>
      <c r="E743" s="52" t="s">
        <v>348</v>
      </c>
      <c r="F743" s="52" t="s">
        <v>180</v>
      </c>
      <c r="G743" s="18">
        <f>440+100-440</f>
        <v>100</v>
      </c>
    </row>
    <row r="744" spans="1:7" ht="24">
      <c r="A744" s="16" t="s">
        <v>159</v>
      </c>
      <c r="B744" s="51" t="s">
        <v>1968</v>
      </c>
      <c r="C744" s="15" t="s">
        <v>1990</v>
      </c>
      <c r="D744" s="15" t="s">
        <v>1624</v>
      </c>
      <c r="E744" s="52" t="s">
        <v>348</v>
      </c>
      <c r="F744" s="52" t="s">
        <v>180</v>
      </c>
      <c r="G744" s="18">
        <f>500+478</f>
        <v>978</v>
      </c>
    </row>
    <row r="745" spans="1:7" ht="24">
      <c r="A745" s="16" t="s">
        <v>160</v>
      </c>
      <c r="B745" s="51" t="s">
        <v>1968</v>
      </c>
      <c r="C745" s="15" t="s">
        <v>1990</v>
      </c>
      <c r="D745" s="15" t="s">
        <v>1624</v>
      </c>
      <c r="E745" s="52" t="s">
        <v>348</v>
      </c>
      <c r="F745" s="52" t="s">
        <v>180</v>
      </c>
      <c r="G745" s="18">
        <v>2000</v>
      </c>
    </row>
    <row r="746" spans="1:7" ht="24">
      <c r="A746" s="16" t="s">
        <v>1471</v>
      </c>
      <c r="B746" s="51" t="s">
        <v>1968</v>
      </c>
      <c r="C746" s="15" t="s">
        <v>1990</v>
      </c>
      <c r="D746" s="15" t="s">
        <v>1624</v>
      </c>
      <c r="E746" s="52" t="s">
        <v>348</v>
      </c>
      <c r="F746" s="52" t="s">
        <v>180</v>
      </c>
      <c r="G746" s="18">
        <v>1000</v>
      </c>
    </row>
    <row r="747" spans="1:7" ht="36">
      <c r="A747" s="16" t="s">
        <v>322</v>
      </c>
      <c r="B747" s="51" t="s">
        <v>1968</v>
      </c>
      <c r="C747" s="15" t="s">
        <v>1990</v>
      </c>
      <c r="D747" s="15" t="s">
        <v>1624</v>
      </c>
      <c r="E747" s="52" t="s">
        <v>348</v>
      </c>
      <c r="F747" s="52" t="s">
        <v>180</v>
      </c>
      <c r="G747" s="18">
        <f>300+440</f>
        <v>740</v>
      </c>
    </row>
    <row r="748" spans="1:7" ht="24">
      <c r="A748" s="16" t="s">
        <v>1124</v>
      </c>
      <c r="B748" s="51" t="s">
        <v>1968</v>
      </c>
      <c r="C748" s="15" t="s">
        <v>1990</v>
      </c>
      <c r="D748" s="15" t="s">
        <v>1624</v>
      </c>
      <c r="E748" s="52" t="s">
        <v>348</v>
      </c>
      <c r="F748" s="52" t="s">
        <v>180</v>
      </c>
      <c r="G748" s="18">
        <v>429.8</v>
      </c>
    </row>
    <row r="749" spans="1:7" ht="24">
      <c r="A749" s="16" t="s">
        <v>396</v>
      </c>
      <c r="B749" s="51" t="s">
        <v>1968</v>
      </c>
      <c r="C749" s="15" t="s">
        <v>1990</v>
      </c>
      <c r="D749" s="15" t="s">
        <v>1624</v>
      </c>
      <c r="E749" s="52" t="s">
        <v>702</v>
      </c>
      <c r="F749" s="52" t="s">
        <v>1433</v>
      </c>
      <c r="G749" s="18">
        <f>G750+G751</f>
        <v>29800.5</v>
      </c>
    </row>
    <row r="750" spans="1:7" ht="24">
      <c r="A750" s="16" t="s">
        <v>395</v>
      </c>
      <c r="B750" s="51" t="s">
        <v>1968</v>
      </c>
      <c r="C750" s="15" t="s">
        <v>1990</v>
      </c>
      <c r="D750" s="15" t="s">
        <v>1624</v>
      </c>
      <c r="E750" s="52" t="s">
        <v>702</v>
      </c>
      <c r="F750" s="52" t="s">
        <v>1434</v>
      </c>
      <c r="G750" s="18">
        <f>19342+637.5</f>
        <v>19979.5</v>
      </c>
    </row>
    <row r="751" spans="1:7" ht="24">
      <c r="A751" s="16" t="s">
        <v>1027</v>
      </c>
      <c r="B751" s="51" t="s">
        <v>1968</v>
      </c>
      <c r="C751" s="15" t="s">
        <v>1990</v>
      </c>
      <c r="D751" s="15" t="s">
        <v>1624</v>
      </c>
      <c r="E751" s="52" t="s">
        <v>702</v>
      </c>
      <c r="F751" s="52" t="s">
        <v>1196</v>
      </c>
      <c r="G751" s="18">
        <f>G752+G753+G754+G755+G756</f>
        <v>9821</v>
      </c>
    </row>
    <row r="752" spans="1:7" ht="24">
      <c r="A752" s="16" t="s">
        <v>288</v>
      </c>
      <c r="B752" s="51" t="s">
        <v>1968</v>
      </c>
      <c r="C752" s="15" t="s">
        <v>1990</v>
      </c>
      <c r="D752" s="15" t="s">
        <v>1624</v>
      </c>
      <c r="E752" s="52" t="s">
        <v>702</v>
      </c>
      <c r="F752" s="52" t="s">
        <v>1196</v>
      </c>
      <c r="G752" s="18">
        <f>6788-553</f>
        <v>6235</v>
      </c>
    </row>
    <row r="753" spans="1:7" ht="24">
      <c r="A753" s="16" t="s">
        <v>323</v>
      </c>
      <c r="B753" s="51" t="s">
        <v>1968</v>
      </c>
      <c r="C753" s="15" t="s">
        <v>1990</v>
      </c>
      <c r="D753" s="15" t="s">
        <v>1624</v>
      </c>
      <c r="E753" s="52" t="s">
        <v>702</v>
      </c>
      <c r="F753" s="52" t="s">
        <v>1196</v>
      </c>
      <c r="G753" s="18">
        <v>553</v>
      </c>
    </row>
    <row r="754" spans="1:7" ht="36">
      <c r="A754" s="16" t="s">
        <v>1125</v>
      </c>
      <c r="B754" s="51" t="s">
        <v>1968</v>
      </c>
      <c r="C754" s="15" t="s">
        <v>1990</v>
      </c>
      <c r="D754" s="15" t="s">
        <v>1624</v>
      </c>
      <c r="E754" s="52" t="s">
        <v>702</v>
      </c>
      <c r="F754" s="52" t="s">
        <v>1196</v>
      </c>
      <c r="G754" s="18">
        <v>2000</v>
      </c>
    </row>
    <row r="755" spans="1:7" ht="36">
      <c r="A755" s="16" t="s">
        <v>655</v>
      </c>
      <c r="B755" s="51" t="s">
        <v>1968</v>
      </c>
      <c r="C755" s="15" t="s">
        <v>1990</v>
      </c>
      <c r="D755" s="15" t="s">
        <v>1624</v>
      </c>
      <c r="E755" s="52" t="s">
        <v>702</v>
      </c>
      <c r="F755" s="52" t="s">
        <v>1196</v>
      </c>
      <c r="G755" s="18">
        <v>800</v>
      </c>
    </row>
    <row r="756" spans="1:7" ht="24">
      <c r="A756" s="16" t="s">
        <v>656</v>
      </c>
      <c r="B756" s="51" t="s">
        <v>1968</v>
      </c>
      <c r="C756" s="15" t="s">
        <v>1990</v>
      </c>
      <c r="D756" s="15" t="s">
        <v>1624</v>
      </c>
      <c r="E756" s="52" t="s">
        <v>702</v>
      </c>
      <c r="F756" s="52" t="s">
        <v>1196</v>
      </c>
      <c r="G756" s="18">
        <v>233</v>
      </c>
    </row>
    <row r="757" spans="1:7" ht="15">
      <c r="A757" s="29" t="s">
        <v>449</v>
      </c>
      <c r="B757" s="51" t="s">
        <v>1968</v>
      </c>
      <c r="C757" s="15" t="s">
        <v>1990</v>
      </c>
      <c r="D757" s="15" t="s">
        <v>439</v>
      </c>
      <c r="E757" s="15"/>
      <c r="F757" s="15"/>
      <c r="G757" s="18">
        <f>G758+G766+G769+G773+G780+G785</f>
        <v>113797.4</v>
      </c>
    </row>
    <row r="758" spans="1:7" ht="36">
      <c r="A758" s="30" t="s">
        <v>778</v>
      </c>
      <c r="B758" s="51" t="s">
        <v>1968</v>
      </c>
      <c r="C758" s="15" t="s">
        <v>1990</v>
      </c>
      <c r="D758" s="15" t="s">
        <v>439</v>
      </c>
      <c r="E758" s="15" t="s">
        <v>1543</v>
      </c>
      <c r="F758" s="15"/>
      <c r="G758" s="18">
        <f>G759+G764</f>
        <v>13682.4</v>
      </c>
    </row>
    <row r="759" spans="1:7" ht="24">
      <c r="A759" s="16" t="s">
        <v>500</v>
      </c>
      <c r="B759" s="51" t="s">
        <v>1968</v>
      </c>
      <c r="C759" s="15" t="s">
        <v>1990</v>
      </c>
      <c r="D759" s="15" t="s">
        <v>439</v>
      </c>
      <c r="E759" s="15" t="s">
        <v>229</v>
      </c>
      <c r="F759" s="15" t="s">
        <v>575</v>
      </c>
      <c r="G759" s="18">
        <f>G760+G761</f>
        <v>13514.4</v>
      </c>
    </row>
    <row r="760" spans="1:7" ht="24">
      <c r="A760" s="16" t="s">
        <v>382</v>
      </c>
      <c r="B760" s="51" t="s">
        <v>1968</v>
      </c>
      <c r="C760" s="15" t="s">
        <v>1990</v>
      </c>
      <c r="D760" s="15" t="s">
        <v>439</v>
      </c>
      <c r="E760" s="15" t="s">
        <v>229</v>
      </c>
      <c r="F760" s="15" t="s">
        <v>383</v>
      </c>
      <c r="G760" s="18">
        <f>14073-11+81.9-1959.5-591.8</f>
        <v>11592.6</v>
      </c>
    </row>
    <row r="761" spans="1:7" ht="24">
      <c r="A761" s="35" t="s">
        <v>528</v>
      </c>
      <c r="B761" s="51" t="s">
        <v>1968</v>
      </c>
      <c r="C761" s="15" t="s">
        <v>1990</v>
      </c>
      <c r="D761" s="15" t="s">
        <v>439</v>
      </c>
      <c r="E761" s="15" t="s">
        <v>229</v>
      </c>
      <c r="F761" s="15" t="s">
        <v>1644</v>
      </c>
      <c r="G761" s="18">
        <f>G762+G763</f>
        <v>1921.8</v>
      </c>
    </row>
    <row r="762" spans="1:7" ht="24">
      <c r="A762" s="35" t="s">
        <v>848</v>
      </c>
      <c r="B762" s="51" t="s">
        <v>1968</v>
      </c>
      <c r="C762" s="15" t="s">
        <v>1990</v>
      </c>
      <c r="D762" s="15" t="s">
        <v>439</v>
      </c>
      <c r="E762" s="15" t="s">
        <v>229</v>
      </c>
      <c r="F762" s="15" t="s">
        <v>846</v>
      </c>
      <c r="G762" s="18">
        <f>712+12+10</f>
        <v>734</v>
      </c>
    </row>
    <row r="763" spans="1:7" ht="24">
      <c r="A763" s="35" t="s">
        <v>1535</v>
      </c>
      <c r="B763" s="51" t="s">
        <v>1968</v>
      </c>
      <c r="C763" s="15" t="s">
        <v>1990</v>
      </c>
      <c r="D763" s="15" t="s">
        <v>439</v>
      </c>
      <c r="E763" s="15" t="s">
        <v>229</v>
      </c>
      <c r="F763" s="15" t="s">
        <v>1536</v>
      </c>
      <c r="G763" s="18">
        <f>808+11+45.7+50.3+222.8+50</f>
        <v>1187.8</v>
      </c>
    </row>
    <row r="764" spans="1:7" ht="24">
      <c r="A764" s="16" t="s">
        <v>1665</v>
      </c>
      <c r="B764" s="51" t="s">
        <v>1968</v>
      </c>
      <c r="C764" s="15" t="s">
        <v>1990</v>
      </c>
      <c r="D764" s="15" t="s">
        <v>439</v>
      </c>
      <c r="E764" s="15" t="s">
        <v>1635</v>
      </c>
      <c r="F764" s="15" t="s">
        <v>575</v>
      </c>
      <c r="G764" s="18">
        <f>G765</f>
        <v>168</v>
      </c>
    </row>
    <row r="765" spans="1:7" ht="24">
      <c r="A765" s="16" t="s">
        <v>1665</v>
      </c>
      <c r="B765" s="51" t="s">
        <v>1968</v>
      </c>
      <c r="C765" s="15" t="s">
        <v>1990</v>
      </c>
      <c r="D765" s="15" t="s">
        <v>439</v>
      </c>
      <c r="E765" s="15" t="s">
        <v>1635</v>
      </c>
      <c r="F765" s="15" t="s">
        <v>1066</v>
      </c>
      <c r="G765" s="18">
        <v>168</v>
      </c>
    </row>
    <row r="766" spans="1:7" ht="24">
      <c r="A766" s="156" t="s">
        <v>14</v>
      </c>
      <c r="B766" s="51" t="s">
        <v>1968</v>
      </c>
      <c r="C766" s="15" t="s">
        <v>1990</v>
      </c>
      <c r="D766" s="15" t="s">
        <v>439</v>
      </c>
      <c r="E766" s="15" t="s">
        <v>15</v>
      </c>
      <c r="F766" s="15"/>
      <c r="G766" s="18">
        <f>G767</f>
        <v>3250</v>
      </c>
    </row>
    <row r="767" spans="1:7" ht="36">
      <c r="A767" s="156" t="s">
        <v>324</v>
      </c>
      <c r="B767" s="51" t="s">
        <v>1968</v>
      </c>
      <c r="C767" s="15" t="s">
        <v>1990</v>
      </c>
      <c r="D767" s="15" t="s">
        <v>439</v>
      </c>
      <c r="E767" s="15" t="s">
        <v>15</v>
      </c>
      <c r="F767" s="15" t="s">
        <v>356</v>
      </c>
      <c r="G767" s="18">
        <f>G768</f>
        <v>3250</v>
      </c>
    </row>
    <row r="768" spans="1:7" ht="36">
      <c r="A768" s="156" t="s">
        <v>325</v>
      </c>
      <c r="B768" s="51" t="s">
        <v>1968</v>
      </c>
      <c r="C768" s="15" t="s">
        <v>1990</v>
      </c>
      <c r="D768" s="15" t="s">
        <v>439</v>
      </c>
      <c r="E768" s="15" t="s">
        <v>15</v>
      </c>
      <c r="F768" s="15" t="s">
        <v>356</v>
      </c>
      <c r="G768" s="18">
        <f>5607.8-2357.8</f>
        <v>3250</v>
      </c>
    </row>
    <row r="769" spans="1:7" ht="15">
      <c r="A769" s="191" t="s">
        <v>517</v>
      </c>
      <c r="B769" s="51" t="s">
        <v>1968</v>
      </c>
      <c r="C769" s="15" t="s">
        <v>1990</v>
      </c>
      <c r="D769" s="15" t="s">
        <v>439</v>
      </c>
      <c r="E769" s="15" t="s">
        <v>707</v>
      </c>
      <c r="F769" s="15"/>
      <c r="G769" s="18">
        <f>G770</f>
        <v>469</v>
      </c>
    </row>
    <row r="770" spans="1:7" ht="24">
      <c r="A770" s="16" t="s">
        <v>1632</v>
      </c>
      <c r="B770" s="51" t="s">
        <v>1968</v>
      </c>
      <c r="C770" s="15" t="s">
        <v>1990</v>
      </c>
      <c r="D770" s="15" t="s">
        <v>439</v>
      </c>
      <c r="E770" s="15" t="s">
        <v>46</v>
      </c>
      <c r="F770" s="15" t="s">
        <v>575</v>
      </c>
      <c r="G770" s="18">
        <f>G771+G772</f>
        <v>469</v>
      </c>
    </row>
    <row r="771" spans="1:7" ht="24">
      <c r="A771" s="35" t="s">
        <v>1535</v>
      </c>
      <c r="B771" s="51" t="s">
        <v>1968</v>
      </c>
      <c r="C771" s="15" t="s">
        <v>1990</v>
      </c>
      <c r="D771" s="15" t="s">
        <v>439</v>
      </c>
      <c r="E771" s="15" t="s">
        <v>46</v>
      </c>
      <c r="F771" s="15" t="s">
        <v>1536</v>
      </c>
      <c r="G771" s="18">
        <f>385+0.4</f>
        <v>385.4</v>
      </c>
    </row>
    <row r="772" spans="1:7" ht="24">
      <c r="A772" s="16" t="s">
        <v>1665</v>
      </c>
      <c r="B772" s="51" t="s">
        <v>1968</v>
      </c>
      <c r="C772" s="15" t="s">
        <v>1990</v>
      </c>
      <c r="D772" s="15" t="s">
        <v>439</v>
      </c>
      <c r="E772" s="15" t="s">
        <v>46</v>
      </c>
      <c r="F772" s="15" t="s">
        <v>1066</v>
      </c>
      <c r="G772" s="18">
        <f>84-0.4</f>
        <v>83.6</v>
      </c>
    </row>
    <row r="773" spans="1:7" ht="48">
      <c r="A773" s="191" t="s">
        <v>1887</v>
      </c>
      <c r="B773" s="51" t="s">
        <v>1968</v>
      </c>
      <c r="C773" s="15" t="s">
        <v>1990</v>
      </c>
      <c r="D773" s="15" t="s">
        <v>439</v>
      </c>
      <c r="E773" s="15" t="s">
        <v>2006</v>
      </c>
      <c r="F773" s="15"/>
      <c r="G773" s="18">
        <f>G774</f>
        <v>93882.59999999999</v>
      </c>
    </row>
    <row r="774" spans="1:7" ht="24">
      <c r="A774" s="16" t="s">
        <v>270</v>
      </c>
      <c r="B774" s="51" t="s">
        <v>1968</v>
      </c>
      <c r="C774" s="15" t="s">
        <v>1990</v>
      </c>
      <c r="D774" s="15" t="s">
        <v>439</v>
      </c>
      <c r="E774" s="15" t="s">
        <v>594</v>
      </c>
      <c r="F774" s="15" t="s">
        <v>271</v>
      </c>
      <c r="G774" s="18">
        <f>G775+G776</f>
        <v>93882.59999999999</v>
      </c>
    </row>
    <row r="775" spans="1:7" ht="24">
      <c r="A775" s="16" t="s">
        <v>269</v>
      </c>
      <c r="B775" s="51" t="s">
        <v>1968</v>
      </c>
      <c r="C775" s="15" t="s">
        <v>1990</v>
      </c>
      <c r="D775" s="15" t="s">
        <v>439</v>
      </c>
      <c r="E775" s="15" t="s">
        <v>594</v>
      </c>
      <c r="F775" s="15" t="s">
        <v>570</v>
      </c>
      <c r="G775" s="18">
        <f>81308.4+981.7</f>
        <v>82290.09999999999</v>
      </c>
    </row>
    <row r="776" spans="1:7" ht="24">
      <c r="A776" s="16" t="s">
        <v>1025</v>
      </c>
      <c r="B776" s="51" t="s">
        <v>1968</v>
      </c>
      <c r="C776" s="15" t="s">
        <v>1990</v>
      </c>
      <c r="D776" s="15" t="s">
        <v>439</v>
      </c>
      <c r="E776" s="15" t="s">
        <v>594</v>
      </c>
      <c r="F776" s="15" t="s">
        <v>180</v>
      </c>
      <c r="G776" s="18">
        <f>G777+G778+G779</f>
        <v>11592.5</v>
      </c>
    </row>
    <row r="777" spans="1:7" ht="24.75" hidden="1">
      <c r="A777" s="16" t="s">
        <v>1155</v>
      </c>
      <c r="B777" s="51" t="s">
        <v>1968</v>
      </c>
      <c r="C777" s="15" t="s">
        <v>1990</v>
      </c>
      <c r="D777" s="15" t="s">
        <v>439</v>
      </c>
      <c r="E777" s="15" t="s">
        <v>1611</v>
      </c>
      <c r="F777" s="15" t="s">
        <v>180</v>
      </c>
      <c r="G777" s="18"/>
    </row>
    <row r="778" spans="1:7" ht="24">
      <c r="A778" s="16" t="s">
        <v>1666</v>
      </c>
      <c r="B778" s="51" t="s">
        <v>1968</v>
      </c>
      <c r="C778" s="15" t="s">
        <v>1990</v>
      </c>
      <c r="D778" s="15" t="s">
        <v>439</v>
      </c>
      <c r="E778" s="15" t="s">
        <v>1611</v>
      </c>
      <c r="F778" s="15" t="s">
        <v>180</v>
      </c>
      <c r="G778" s="18">
        <f>50+89.7+358.8</f>
        <v>498.5</v>
      </c>
    </row>
    <row r="779" spans="1:7" ht="24">
      <c r="A779" s="16" t="s">
        <v>369</v>
      </c>
      <c r="B779" s="51" t="s">
        <v>1968</v>
      </c>
      <c r="C779" s="15" t="s">
        <v>1990</v>
      </c>
      <c r="D779" s="15" t="s">
        <v>439</v>
      </c>
      <c r="E779" s="15" t="s">
        <v>1611</v>
      </c>
      <c r="F779" s="15" t="s">
        <v>180</v>
      </c>
      <c r="G779" s="18">
        <f>11000+94</f>
        <v>11094</v>
      </c>
    </row>
    <row r="780" spans="1:7" ht="15">
      <c r="A780" s="159" t="s">
        <v>1148</v>
      </c>
      <c r="B780" s="51" t="s">
        <v>1968</v>
      </c>
      <c r="C780" s="15" t="s">
        <v>1990</v>
      </c>
      <c r="D780" s="15" t="s">
        <v>439</v>
      </c>
      <c r="E780" s="15" t="s">
        <v>1149</v>
      </c>
      <c r="F780" s="15"/>
      <c r="G780" s="18">
        <f>G781</f>
        <v>1256.7</v>
      </c>
    </row>
    <row r="781" spans="1:7" ht="36">
      <c r="A781" s="35" t="s">
        <v>310</v>
      </c>
      <c r="B781" s="51" t="s">
        <v>1968</v>
      </c>
      <c r="C781" s="15" t="s">
        <v>1990</v>
      </c>
      <c r="D781" s="15" t="s">
        <v>439</v>
      </c>
      <c r="E781" s="15" t="s">
        <v>789</v>
      </c>
      <c r="F781" s="15"/>
      <c r="G781" s="18">
        <f>G782</f>
        <v>1256.7</v>
      </c>
    </row>
    <row r="782" spans="1:7" ht="48">
      <c r="A782" s="35" t="s">
        <v>790</v>
      </c>
      <c r="B782" s="51" t="s">
        <v>1968</v>
      </c>
      <c r="C782" s="15" t="s">
        <v>1990</v>
      </c>
      <c r="D782" s="15" t="s">
        <v>439</v>
      </c>
      <c r="E782" s="15" t="s">
        <v>791</v>
      </c>
      <c r="F782" s="15" t="s">
        <v>575</v>
      </c>
      <c r="G782" s="18">
        <f>G783</f>
        <v>1256.7</v>
      </c>
    </row>
    <row r="783" spans="1:7" ht="24">
      <c r="A783" s="16" t="s">
        <v>270</v>
      </c>
      <c r="B783" s="51" t="s">
        <v>1968</v>
      </c>
      <c r="C783" s="15" t="s">
        <v>1990</v>
      </c>
      <c r="D783" s="15" t="s">
        <v>439</v>
      </c>
      <c r="E783" s="15" t="s">
        <v>791</v>
      </c>
      <c r="F783" s="15" t="s">
        <v>271</v>
      </c>
      <c r="G783" s="18">
        <f>G784</f>
        <v>1256.7</v>
      </c>
    </row>
    <row r="784" spans="1:7" ht="24">
      <c r="A784" s="16" t="s">
        <v>269</v>
      </c>
      <c r="B784" s="51" t="s">
        <v>1968</v>
      </c>
      <c r="C784" s="15" t="s">
        <v>1990</v>
      </c>
      <c r="D784" s="15" t="s">
        <v>439</v>
      </c>
      <c r="E784" s="15" t="s">
        <v>791</v>
      </c>
      <c r="F784" s="15" t="s">
        <v>570</v>
      </c>
      <c r="G784" s="18">
        <v>1256.7</v>
      </c>
    </row>
    <row r="785" spans="1:7" ht="18.75" customHeight="1">
      <c r="A785" s="31" t="s">
        <v>1664</v>
      </c>
      <c r="B785" s="51" t="s">
        <v>1968</v>
      </c>
      <c r="C785" s="15" t="s">
        <v>1990</v>
      </c>
      <c r="D785" s="15" t="s">
        <v>439</v>
      </c>
      <c r="E785" s="15" t="s">
        <v>1663</v>
      </c>
      <c r="F785" s="15"/>
      <c r="G785" s="18">
        <f>G786</f>
        <v>1256.7</v>
      </c>
    </row>
    <row r="786" spans="1:7" ht="23.25" customHeight="1">
      <c r="A786" s="16" t="s">
        <v>289</v>
      </c>
      <c r="B786" s="51" t="s">
        <v>1968</v>
      </c>
      <c r="C786" s="15" t="s">
        <v>1990</v>
      </c>
      <c r="D786" s="15" t="s">
        <v>439</v>
      </c>
      <c r="E786" s="15" t="s">
        <v>702</v>
      </c>
      <c r="F786" s="15" t="s">
        <v>575</v>
      </c>
      <c r="G786" s="18">
        <f>G787</f>
        <v>1256.7</v>
      </c>
    </row>
    <row r="787" spans="1:7" ht="20.25" customHeight="1">
      <c r="A787" s="16" t="s">
        <v>270</v>
      </c>
      <c r="B787" s="51" t="s">
        <v>1968</v>
      </c>
      <c r="C787" s="15" t="s">
        <v>1990</v>
      </c>
      <c r="D787" s="15" t="s">
        <v>439</v>
      </c>
      <c r="E787" s="15" t="s">
        <v>702</v>
      </c>
      <c r="F787" s="15" t="s">
        <v>271</v>
      </c>
      <c r="G787" s="18">
        <f>G788</f>
        <v>1256.7</v>
      </c>
    </row>
    <row r="788" spans="1:7" ht="20.25" customHeight="1">
      <c r="A788" s="16" t="s">
        <v>269</v>
      </c>
      <c r="B788" s="51" t="s">
        <v>1968</v>
      </c>
      <c r="C788" s="15" t="s">
        <v>1990</v>
      </c>
      <c r="D788" s="15" t="s">
        <v>439</v>
      </c>
      <c r="E788" s="15" t="s">
        <v>702</v>
      </c>
      <c r="F788" s="15" t="s">
        <v>570</v>
      </c>
      <c r="G788" s="18">
        <v>1256.7</v>
      </c>
    </row>
    <row r="789" spans="1:7" ht="15">
      <c r="A789" s="22" t="s">
        <v>1573</v>
      </c>
      <c r="B789" s="51" t="s">
        <v>1968</v>
      </c>
      <c r="C789" s="21" t="s">
        <v>98</v>
      </c>
      <c r="D789" s="21"/>
      <c r="E789" s="21"/>
      <c r="F789" s="21"/>
      <c r="G789" s="18">
        <f>G790</f>
        <v>122393.90000000001</v>
      </c>
    </row>
    <row r="790" spans="1:7" ht="15">
      <c r="A790" s="29" t="s">
        <v>1574</v>
      </c>
      <c r="B790" s="51" t="s">
        <v>1968</v>
      </c>
      <c r="C790" s="15" t="s">
        <v>98</v>
      </c>
      <c r="D790" s="15" t="s">
        <v>1624</v>
      </c>
      <c r="E790" s="25"/>
      <c r="F790" s="25"/>
      <c r="G790" s="18">
        <f>G791+G794+G805+G812+G819+G830</f>
        <v>122393.90000000001</v>
      </c>
    </row>
    <row r="791" spans="1:7" ht="23.25" customHeight="1" hidden="1">
      <c r="A791" s="197" t="s">
        <v>645</v>
      </c>
      <c r="B791" s="51" t="s">
        <v>1968</v>
      </c>
      <c r="C791" s="15" t="s">
        <v>98</v>
      </c>
      <c r="D791" s="15" t="s">
        <v>1624</v>
      </c>
      <c r="E791" s="15" t="s">
        <v>102</v>
      </c>
      <c r="F791" s="15"/>
      <c r="G791" s="18">
        <f>G792</f>
        <v>0</v>
      </c>
    </row>
    <row r="792" spans="1:7" ht="27" customHeight="1" hidden="1">
      <c r="A792" s="195" t="s">
        <v>1895</v>
      </c>
      <c r="B792" s="51" t="s">
        <v>1968</v>
      </c>
      <c r="C792" s="15" t="s">
        <v>98</v>
      </c>
      <c r="D792" s="15" t="s">
        <v>1624</v>
      </c>
      <c r="E792" s="15" t="s">
        <v>15</v>
      </c>
      <c r="F792" s="15" t="s">
        <v>575</v>
      </c>
      <c r="G792" s="18">
        <f>G793</f>
        <v>0</v>
      </c>
    </row>
    <row r="793" spans="1:7" ht="27" customHeight="1" hidden="1">
      <c r="A793" s="35" t="s">
        <v>1896</v>
      </c>
      <c r="B793" s="51" t="s">
        <v>1968</v>
      </c>
      <c r="C793" s="15" t="s">
        <v>98</v>
      </c>
      <c r="D793" s="15" t="s">
        <v>1624</v>
      </c>
      <c r="E793" s="15" t="s">
        <v>15</v>
      </c>
      <c r="F793" s="15" t="s">
        <v>956</v>
      </c>
      <c r="G793" s="18"/>
    </row>
    <row r="794" spans="1:7" ht="15.75" hidden="1">
      <c r="A794" s="30" t="s">
        <v>1438</v>
      </c>
      <c r="B794" s="51" t="s">
        <v>1968</v>
      </c>
      <c r="C794" s="15" t="s">
        <v>98</v>
      </c>
      <c r="D794" s="15" t="s">
        <v>1624</v>
      </c>
      <c r="E794" s="15" t="s">
        <v>1439</v>
      </c>
      <c r="F794" s="15"/>
      <c r="G794" s="18">
        <f>G795</f>
        <v>0</v>
      </c>
    </row>
    <row r="795" spans="1:7" ht="24.75" hidden="1">
      <c r="A795" s="16" t="s">
        <v>2002</v>
      </c>
      <c r="B795" s="51" t="s">
        <v>1968</v>
      </c>
      <c r="C795" s="15" t="s">
        <v>98</v>
      </c>
      <c r="D795" s="15" t="s">
        <v>1624</v>
      </c>
      <c r="E795" s="15" t="s">
        <v>119</v>
      </c>
      <c r="F795" s="15" t="s">
        <v>575</v>
      </c>
      <c r="G795" s="18">
        <f>G796+G801</f>
        <v>0</v>
      </c>
    </row>
    <row r="796" spans="1:7" ht="24.75" hidden="1">
      <c r="A796" s="16" t="s">
        <v>1195</v>
      </c>
      <c r="B796" s="51" t="s">
        <v>1968</v>
      </c>
      <c r="C796" s="15" t="s">
        <v>98</v>
      </c>
      <c r="D796" s="15" t="s">
        <v>1624</v>
      </c>
      <c r="E796" s="15" t="s">
        <v>119</v>
      </c>
      <c r="F796" s="15" t="s">
        <v>271</v>
      </c>
      <c r="G796" s="18">
        <f>G797+G798</f>
        <v>0</v>
      </c>
    </row>
    <row r="797" spans="1:7" ht="24.75" hidden="1">
      <c r="A797" s="16" t="s">
        <v>269</v>
      </c>
      <c r="B797" s="51" t="s">
        <v>1968</v>
      </c>
      <c r="C797" s="15" t="s">
        <v>98</v>
      </c>
      <c r="D797" s="15" t="s">
        <v>1624</v>
      </c>
      <c r="E797" s="15" t="s">
        <v>119</v>
      </c>
      <c r="F797" s="15" t="s">
        <v>570</v>
      </c>
      <c r="G797" s="18"/>
    </row>
    <row r="798" spans="1:7" ht="24.75" hidden="1">
      <c r="A798" s="16" t="s">
        <v>1025</v>
      </c>
      <c r="B798" s="51" t="s">
        <v>1968</v>
      </c>
      <c r="C798" s="15" t="s">
        <v>98</v>
      </c>
      <c r="D798" s="15" t="s">
        <v>1624</v>
      </c>
      <c r="E798" s="15" t="s">
        <v>119</v>
      </c>
      <c r="F798" s="15" t="s">
        <v>180</v>
      </c>
      <c r="G798" s="18">
        <f>G799+G800</f>
        <v>0</v>
      </c>
    </row>
    <row r="799" spans="1:7" ht="24.75" hidden="1">
      <c r="A799" s="16" t="s">
        <v>555</v>
      </c>
      <c r="B799" s="51" t="s">
        <v>1968</v>
      </c>
      <c r="C799" s="15" t="s">
        <v>98</v>
      </c>
      <c r="D799" s="15" t="s">
        <v>1624</v>
      </c>
      <c r="E799" s="15" t="s">
        <v>119</v>
      </c>
      <c r="F799" s="15" t="s">
        <v>180</v>
      </c>
      <c r="G799" s="18"/>
    </row>
    <row r="800" spans="1:7" ht="24.75" hidden="1">
      <c r="A800" s="168" t="s">
        <v>435</v>
      </c>
      <c r="B800" s="51" t="s">
        <v>1968</v>
      </c>
      <c r="C800" s="15" t="s">
        <v>98</v>
      </c>
      <c r="D800" s="15" t="s">
        <v>1624</v>
      </c>
      <c r="E800" s="15" t="s">
        <v>119</v>
      </c>
      <c r="F800" s="15" t="s">
        <v>180</v>
      </c>
      <c r="G800" s="18"/>
    </row>
    <row r="801" spans="1:7" ht="24.75" hidden="1">
      <c r="A801" s="16" t="s">
        <v>1432</v>
      </c>
      <c r="B801" s="51" t="s">
        <v>1968</v>
      </c>
      <c r="C801" s="15" t="s">
        <v>98</v>
      </c>
      <c r="D801" s="15" t="s">
        <v>1624</v>
      </c>
      <c r="E801" s="15" t="s">
        <v>119</v>
      </c>
      <c r="F801" s="15" t="s">
        <v>1433</v>
      </c>
      <c r="G801" s="18">
        <f>G802+G803</f>
        <v>0</v>
      </c>
    </row>
    <row r="802" spans="1:7" ht="23.25" customHeight="1" hidden="1">
      <c r="A802" s="16" t="s">
        <v>395</v>
      </c>
      <c r="B802" s="51" t="s">
        <v>1968</v>
      </c>
      <c r="C802" s="15" t="s">
        <v>98</v>
      </c>
      <c r="D802" s="15" t="s">
        <v>1624</v>
      </c>
      <c r="E802" s="15" t="s">
        <v>119</v>
      </c>
      <c r="F802" s="15" t="s">
        <v>1434</v>
      </c>
      <c r="G802" s="18"/>
    </row>
    <row r="803" spans="1:7" ht="23.25" customHeight="1" hidden="1">
      <c r="A803" s="16" t="s">
        <v>556</v>
      </c>
      <c r="B803" s="51" t="s">
        <v>1968</v>
      </c>
      <c r="C803" s="15" t="s">
        <v>98</v>
      </c>
      <c r="D803" s="15" t="s">
        <v>1624</v>
      </c>
      <c r="E803" s="15" t="s">
        <v>370</v>
      </c>
      <c r="F803" s="15" t="s">
        <v>1196</v>
      </c>
      <c r="G803" s="18">
        <f>G804+G810+G811</f>
        <v>0</v>
      </c>
    </row>
    <row r="804" spans="1:7" ht="23.25" customHeight="1" hidden="1">
      <c r="A804" s="16" t="s">
        <v>1381</v>
      </c>
      <c r="B804" s="51" t="s">
        <v>1968</v>
      </c>
      <c r="C804" s="15" t="s">
        <v>98</v>
      </c>
      <c r="D804" s="15" t="s">
        <v>1624</v>
      </c>
      <c r="E804" s="15" t="s">
        <v>370</v>
      </c>
      <c r="F804" s="15" t="s">
        <v>1196</v>
      </c>
      <c r="G804" s="18"/>
    </row>
    <row r="805" spans="1:7" ht="23.25" customHeight="1" hidden="1">
      <c r="A805" s="30" t="s">
        <v>569</v>
      </c>
      <c r="B805" s="51" t="s">
        <v>1968</v>
      </c>
      <c r="C805" s="15" t="s">
        <v>98</v>
      </c>
      <c r="D805" s="15" t="s">
        <v>1624</v>
      </c>
      <c r="E805" s="15" t="s">
        <v>120</v>
      </c>
      <c r="F805" s="15"/>
      <c r="G805" s="18">
        <f>G806</f>
        <v>0</v>
      </c>
    </row>
    <row r="806" spans="1:7" ht="23.25" customHeight="1" hidden="1">
      <c r="A806" s="16" t="s">
        <v>1195</v>
      </c>
      <c r="B806" s="51" t="s">
        <v>1968</v>
      </c>
      <c r="C806" s="15" t="s">
        <v>98</v>
      </c>
      <c r="D806" s="15" t="s">
        <v>1624</v>
      </c>
      <c r="E806" s="15" t="s">
        <v>120</v>
      </c>
      <c r="F806" s="15" t="s">
        <v>271</v>
      </c>
      <c r="G806" s="18">
        <f>G807+G808</f>
        <v>0</v>
      </c>
    </row>
    <row r="807" spans="1:7" ht="23.25" customHeight="1" hidden="1">
      <c r="A807" s="16" t="s">
        <v>269</v>
      </c>
      <c r="B807" s="51"/>
      <c r="C807" s="15" t="s">
        <v>98</v>
      </c>
      <c r="D807" s="15" t="s">
        <v>1624</v>
      </c>
      <c r="E807" s="15" t="s">
        <v>120</v>
      </c>
      <c r="F807" s="15" t="s">
        <v>570</v>
      </c>
      <c r="G807" s="18"/>
    </row>
    <row r="808" spans="1:7" ht="23.25" customHeight="1" hidden="1">
      <c r="A808" s="16" t="s">
        <v>850</v>
      </c>
      <c r="B808" s="51" t="s">
        <v>1968</v>
      </c>
      <c r="C808" s="15" t="s">
        <v>98</v>
      </c>
      <c r="D808" s="15" t="s">
        <v>1624</v>
      </c>
      <c r="E808" s="15" t="s">
        <v>120</v>
      </c>
      <c r="F808" s="15" t="s">
        <v>180</v>
      </c>
      <c r="G808" s="18">
        <f>G809</f>
        <v>0</v>
      </c>
    </row>
    <row r="809" spans="1:7" ht="23.25" customHeight="1" hidden="1">
      <c r="A809" s="16" t="s">
        <v>393</v>
      </c>
      <c r="B809" s="51" t="s">
        <v>1968</v>
      </c>
      <c r="C809" s="15" t="s">
        <v>98</v>
      </c>
      <c r="D809" s="15" t="s">
        <v>1624</v>
      </c>
      <c r="E809" s="15" t="s">
        <v>394</v>
      </c>
      <c r="F809" s="15" t="s">
        <v>180</v>
      </c>
      <c r="G809" s="18">
        <f>2000-2000</f>
        <v>0</v>
      </c>
    </row>
    <row r="810" spans="1:7" ht="23.25" customHeight="1" hidden="1">
      <c r="A810" s="16" t="s">
        <v>272</v>
      </c>
      <c r="B810" s="51" t="s">
        <v>1968</v>
      </c>
      <c r="C810" s="15" t="s">
        <v>98</v>
      </c>
      <c r="D810" s="15" t="s">
        <v>1624</v>
      </c>
      <c r="E810" s="15" t="s">
        <v>370</v>
      </c>
      <c r="F810" s="15" t="s">
        <v>1196</v>
      </c>
      <c r="G810" s="18"/>
    </row>
    <row r="811" spans="1:7" ht="23.25" customHeight="1" hidden="1">
      <c r="A811" s="16" t="s">
        <v>273</v>
      </c>
      <c r="B811" s="51" t="s">
        <v>1968</v>
      </c>
      <c r="C811" s="15" t="s">
        <v>98</v>
      </c>
      <c r="D811" s="15" t="s">
        <v>1624</v>
      </c>
      <c r="E811" s="15" t="s">
        <v>370</v>
      </c>
      <c r="F811" s="15" t="s">
        <v>1196</v>
      </c>
      <c r="G811" s="18"/>
    </row>
    <row r="812" spans="1:7" ht="23.25" customHeight="1" hidden="1">
      <c r="A812" s="169" t="s">
        <v>352</v>
      </c>
      <c r="B812" s="51" t="s">
        <v>1968</v>
      </c>
      <c r="C812" s="15" t="s">
        <v>98</v>
      </c>
      <c r="D812" s="15" t="s">
        <v>1624</v>
      </c>
      <c r="E812" s="15" t="s">
        <v>353</v>
      </c>
      <c r="F812" s="15" t="s">
        <v>575</v>
      </c>
      <c r="G812" s="18">
        <f>G813+G815</f>
        <v>0</v>
      </c>
    </row>
    <row r="813" spans="1:7" ht="23.25" customHeight="1" hidden="1">
      <c r="A813" s="168" t="s">
        <v>1997</v>
      </c>
      <c r="B813" s="51" t="s">
        <v>1968</v>
      </c>
      <c r="C813" s="15" t="s">
        <v>98</v>
      </c>
      <c r="D813" s="15" t="s">
        <v>1624</v>
      </c>
      <c r="E813" s="15" t="s">
        <v>353</v>
      </c>
      <c r="F813" s="15" t="s">
        <v>180</v>
      </c>
      <c r="G813" s="18">
        <f>G814</f>
        <v>0</v>
      </c>
    </row>
    <row r="814" spans="1:7" ht="23.25" customHeight="1" hidden="1">
      <c r="A814" s="16" t="s">
        <v>836</v>
      </c>
      <c r="B814" s="51" t="s">
        <v>1968</v>
      </c>
      <c r="C814" s="15" t="s">
        <v>98</v>
      </c>
      <c r="D814" s="15" t="s">
        <v>1624</v>
      </c>
      <c r="E814" s="15" t="s">
        <v>353</v>
      </c>
      <c r="F814" s="15" t="s">
        <v>180</v>
      </c>
      <c r="G814" s="18"/>
    </row>
    <row r="815" spans="1:7" ht="23.25" customHeight="1" hidden="1">
      <c r="A815" s="16" t="s">
        <v>556</v>
      </c>
      <c r="B815" s="51" t="s">
        <v>1968</v>
      </c>
      <c r="C815" s="15" t="s">
        <v>98</v>
      </c>
      <c r="D815" s="15" t="s">
        <v>1624</v>
      </c>
      <c r="E815" s="15" t="s">
        <v>353</v>
      </c>
      <c r="F815" s="15" t="s">
        <v>1196</v>
      </c>
      <c r="G815" s="18">
        <f>G816+G817+G818</f>
        <v>0</v>
      </c>
    </row>
    <row r="816" spans="1:7" ht="23.25" customHeight="1" hidden="1">
      <c r="A816" s="16" t="s">
        <v>141</v>
      </c>
      <c r="B816" s="51" t="s">
        <v>1968</v>
      </c>
      <c r="C816" s="15" t="s">
        <v>98</v>
      </c>
      <c r="D816" s="15" t="s">
        <v>1624</v>
      </c>
      <c r="E816" s="15" t="s">
        <v>353</v>
      </c>
      <c r="F816" s="15" t="s">
        <v>1196</v>
      </c>
      <c r="G816" s="18"/>
    </row>
    <row r="817" spans="1:7" ht="23.25" customHeight="1" hidden="1">
      <c r="A817" s="16" t="s">
        <v>721</v>
      </c>
      <c r="B817" s="51" t="s">
        <v>1968</v>
      </c>
      <c r="C817" s="15" t="s">
        <v>98</v>
      </c>
      <c r="D817" s="15" t="s">
        <v>1624</v>
      </c>
      <c r="E817" s="15" t="s">
        <v>353</v>
      </c>
      <c r="F817" s="15" t="s">
        <v>1196</v>
      </c>
      <c r="G817" s="18"/>
    </row>
    <row r="818" spans="1:7" ht="23.25" customHeight="1" hidden="1">
      <c r="A818" s="16" t="s">
        <v>859</v>
      </c>
      <c r="B818" s="51" t="s">
        <v>1968</v>
      </c>
      <c r="C818" s="15" t="s">
        <v>98</v>
      </c>
      <c r="D818" s="15" t="s">
        <v>1624</v>
      </c>
      <c r="E818" s="15" t="s">
        <v>353</v>
      </c>
      <c r="F818" s="15" t="s">
        <v>1196</v>
      </c>
      <c r="G818" s="18"/>
    </row>
    <row r="819" spans="1:7" ht="17.25" customHeight="1">
      <c r="A819" s="159" t="s">
        <v>1148</v>
      </c>
      <c r="B819" s="51" t="s">
        <v>1968</v>
      </c>
      <c r="C819" s="170" t="s">
        <v>98</v>
      </c>
      <c r="D819" s="171" t="s">
        <v>1624</v>
      </c>
      <c r="E819" s="15" t="s">
        <v>1149</v>
      </c>
      <c r="F819" s="15"/>
      <c r="G819" s="18">
        <f>G820+G824</f>
        <v>7655.3</v>
      </c>
    </row>
    <row r="820" spans="1:7" ht="29.25" customHeight="1">
      <c r="A820" s="35" t="s">
        <v>145</v>
      </c>
      <c r="B820" s="51" t="s">
        <v>1968</v>
      </c>
      <c r="C820" s="170" t="s">
        <v>98</v>
      </c>
      <c r="D820" s="171" t="s">
        <v>1624</v>
      </c>
      <c r="E820" s="171" t="s">
        <v>143</v>
      </c>
      <c r="F820" s="171"/>
      <c r="G820" s="18">
        <f>G821</f>
        <v>5300</v>
      </c>
    </row>
    <row r="821" spans="1:7" ht="23.25" customHeight="1">
      <c r="A821" s="35" t="s">
        <v>352</v>
      </c>
      <c r="B821" s="51" t="s">
        <v>1968</v>
      </c>
      <c r="C821" s="170" t="s">
        <v>98</v>
      </c>
      <c r="D821" s="171" t="s">
        <v>1624</v>
      </c>
      <c r="E821" s="171" t="s">
        <v>353</v>
      </c>
      <c r="F821" s="171" t="s">
        <v>575</v>
      </c>
      <c r="G821" s="18">
        <f>G822+G823</f>
        <v>5300</v>
      </c>
    </row>
    <row r="822" spans="1:7" ht="18.75" customHeight="1">
      <c r="A822" s="16" t="s">
        <v>1537</v>
      </c>
      <c r="B822" s="51" t="s">
        <v>1968</v>
      </c>
      <c r="C822" s="170" t="s">
        <v>98</v>
      </c>
      <c r="D822" s="171" t="s">
        <v>1624</v>
      </c>
      <c r="E822" s="171" t="s">
        <v>353</v>
      </c>
      <c r="F822" s="171" t="s">
        <v>180</v>
      </c>
      <c r="G822" s="18">
        <f>4000+1000</f>
        <v>5000</v>
      </c>
    </row>
    <row r="823" spans="1:7" ht="18.75" customHeight="1">
      <c r="A823" s="16" t="s">
        <v>673</v>
      </c>
      <c r="B823" s="51" t="s">
        <v>1968</v>
      </c>
      <c r="C823" s="170" t="s">
        <v>98</v>
      </c>
      <c r="D823" s="171" t="s">
        <v>1624</v>
      </c>
      <c r="E823" s="171" t="s">
        <v>353</v>
      </c>
      <c r="F823" s="171" t="s">
        <v>1196</v>
      </c>
      <c r="G823" s="18">
        <v>300</v>
      </c>
    </row>
    <row r="824" spans="1:7" ht="23.25" customHeight="1">
      <c r="A824" s="35" t="s">
        <v>788</v>
      </c>
      <c r="B824" s="51" t="s">
        <v>1968</v>
      </c>
      <c r="C824" s="170" t="s">
        <v>98</v>
      </c>
      <c r="D824" s="171" t="s">
        <v>1624</v>
      </c>
      <c r="E824" s="15" t="s">
        <v>789</v>
      </c>
      <c r="F824" s="15"/>
      <c r="G824" s="18">
        <f>G825</f>
        <v>2355.3</v>
      </c>
    </row>
    <row r="825" spans="1:7" ht="43.5" customHeight="1">
      <c r="A825" s="35" t="s">
        <v>790</v>
      </c>
      <c r="B825" s="51" t="s">
        <v>1968</v>
      </c>
      <c r="C825" s="170" t="s">
        <v>98</v>
      </c>
      <c r="D825" s="171" t="s">
        <v>1624</v>
      </c>
      <c r="E825" s="15" t="s">
        <v>791</v>
      </c>
      <c r="F825" s="15" t="s">
        <v>575</v>
      </c>
      <c r="G825" s="18">
        <f>G826+G828</f>
        <v>2355.3</v>
      </c>
    </row>
    <row r="826" spans="1:7" ht="23.25" customHeight="1">
      <c r="A826" s="16" t="s">
        <v>270</v>
      </c>
      <c r="B826" s="51" t="s">
        <v>1968</v>
      </c>
      <c r="C826" s="170" t="s">
        <v>98</v>
      </c>
      <c r="D826" s="171" t="s">
        <v>1624</v>
      </c>
      <c r="E826" s="15" t="s">
        <v>791</v>
      </c>
      <c r="F826" s="15" t="s">
        <v>271</v>
      </c>
      <c r="G826" s="18">
        <f>G827</f>
        <v>806</v>
      </c>
    </row>
    <row r="827" spans="1:7" ht="23.25" customHeight="1">
      <c r="A827" s="16" t="s">
        <v>269</v>
      </c>
      <c r="B827" s="51" t="s">
        <v>1968</v>
      </c>
      <c r="C827" s="170" t="s">
        <v>98</v>
      </c>
      <c r="D827" s="171" t="s">
        <v>1624</v>
      </c>
      <c r="E827" s="15" t="s">
        <v>791</v>
      </c>
      <c r="F827" s="15" t="s">
        <v>570</v>
      </c>
      <c r="G827" s="18">
        <v>806</v>
      </c>
    </row>
    <row r="828" spans="1:7" ht="23.25" customHeight="1">
      <c r="A828" s="16" t="s">
        <v>396</v>
      </c>
      <c r="B828" s="51" t="s">
        <v>1968</v>
      </c>
      <c r="C828" s="170" t="s">
        <v>98</v>
      </c>
      <c r="D828" s="171" t="s">
        <v>1624</v>
      </c>
      <c r="E828" s="15" t="s">
        <v>791</v>
      </c>
      <c r="F828" s="15" t="s">
        <v>1433</v>
      </c>
      <c r="G828" s="18">
        <f>G829</f>
        <v>1549.3</v>
      </c>
    </row>
    <row r="829" spans="1:7" ht="23.25" customHeight="1">
      <c r="A829" s="16" t="s">
        <v>395</v>
      </c>
      <c r="B829" s="51" t="s">
        <v>1968</v>
      </c>
      <c r="C829" s="170" t="s">
        <v>98</v>
      </c>
      <c r="D829" s="171" t="s">
        <v>1624</v>
      </c>
      <c r="E829" s="15" t="s">
        <v>791</v>
      </c>
      <c r="F829" s="15" t="s">
        <v>1434</v>
      </c>
      <c r="G829" s="18">
        <v>1549.3</v>
      </c>
    </row>
    <row r="830" spans="1:7" ht="23.25" customHeight="1">
      <c r="A830" s="16" t="s">
        <v>1664</v>
      </c>
      <c r="B830" s="51" t="s">
        <v>1968</v>
      </c>
      <c r="C830" s="15" t="s">
        <v>98</v>
      </c>
      <c r="D830" s="15" t="s">
        <v>1624</v>
      </c>
      <c r="E830" s="15" t="s">
        <v>1663</v>
      </c>
      <c r="F830" s="15"/>
      <c r="G830" s="18">
        <f>G831</f>
        <v>114738.6</v>
      </c>
    </row>
    <row r="831" spans="1:7" ht="25.5" customHeight="1">
      <c r="A831" s="16" t="s">
        <v>918</v>
      </c>
      <c r="B831" s="51" t="s">
        <v>1968</v>
      </c>
      <c r="C831" s="15" t="s">
        <v>98</v>
      </c>
      <c r="D831" s="15" t="s">
        <v>1624</v>
      </c>
      <c r="E831" s="15" t="s">
        <v>525</v>
      </c>
      <c r="F831" s="15" t="s">
        <v>575</v>
      </c>
      <c r="G831" s="18">
        <f>G832+G845</f>
        <v>114738.6</v>
      </c>
    </row>
    <row r="832" spans="1:7" ht="18" customHeight="1">
      <c r="A832" s="16" t="s">
        <v>1195</v>
      </c>
      <c r="B832" s="51" t="s">
        <v>1968</v>
      </c>
      <c r="C832" s="15" t="s">
        <v>98</v>
      </c>
      <c r="D832" s="15" t="s">
        <v>1624</v>
      </c>
      <c r="E832" s="15" t="s">
        <v>525</v>
      </c>
      <c r="F832" s="15" t="s">
        <v>271</v>
      </c>
      <c r="G832" s="18">
        <f>G833+G834</f>
        <v>31634.3</v>
      </c>
    </row>
    <row r="833" spans="1:7" ht="22.5" customHeight="1">
      <c r="A833" s="16" t="s">
        <v>269</v>
      </c>
      <c r="B833" s="51" t="s">
        <v>1968</v>
      </c>
      <c r="C833" s="15" t="s">
        <v>98</v>
      </c>
      <c r="D833" s="15" t="s">
        <v>1624</v>
      </c>
      <c r="E833" s="15" t="s">
        <v>525</v>
      </c>
      <c r="F833" s="15" t="s">
        <v>570</v>
      </c>
      <c r="G833" s="18">
        <f>26216+806</f>
        <v>27022</v>
      </c>
    </row>
    <row r="834" spans="1:7" ht="19.5" customHeight="1">
      <c r="A834" s="16" t="s">
        <v>1025</v>
      </c>
      <c r="B834" s="51" t="s">
        <v>1968</v>
      </c>
      <c r="C834" s="15" t="s">
        <v>98</v>
      </c>
      <c r="D834" s="15" t="s">
        <v>1624</v>
      </c>
      <c r="E834" s="15" t="s">
        <v>525</v>
      </c>
      <c r="F834" s="15" t="s">
        <v>180</v>
      </c>
      <c r="G834" s="18">
        <f>G835+G836+G838+G839+G840+G841+G842+G843+G844+G837</f>
        <v>4612.3</v>
      </c>
    </row>
    <row r="835" spans="1:7" ht="25.5" customHeight="1">
      <c r="A835" s="16" t="s">
        <v>919</v>
      </c>
      <c r="B835" s="51" t="s">
        <v>1968</v>
      </c>
      <c r="C835" s="15" t="s">
        <v>98</v>
      </c>
      <c r="D835" s="15" t="s">
        <v>1624</v>
      </c>
      <c r="E835" s="15" t="s">
        <v>525</v>
      </c>
      <c r="F835" s="15" t="s">
        <v>180</v>
      </c>
      <c r="G835" s="18">
        <f>3060+100-80-4-100-70</f>
        <v>2906</v>
      </c>
    </row>
    <row r="836" spans="1:7" ht="23.25" customHeight="1">
      <c r="A836" s="16" t="s">
        <v>1473</v>
      </c>
      <c r="B836" s="51" t="s">
        <v>1968</v>
      </c>
      <c r="C836" s="15" t="s">
        <v>98</v>
      </c>
      <c r="D836" s="15" t="s">
        <v>1624</v>
      </c>
      <c r="E836" s="15" t="s">
        <v>525</v>
      </c>
      <c r="F836" s="15" t="s">
        <v>180</v>
      </c>
      <c r="G836" s="18">
        <f>80+4</f>
        <v>84</v>
      </c>
    </row>
    <row r="837" spans="1:7" ht="26.25" customHeight="1">
      <c r="A837" s="16" t="s">
        <v>1474</v>
      </c>
      <c r="B837" s="51" t="s">
        <v>1968</v>
      </c>
      <c r="C837" s="15" t="s">
        <v>98</v>
      </c>
      <c r="D837" s="15" t="s">
        <v>1624</v>
      </c>
      <c r="E837" s="15" t="s">
        <v>525</v>
      </c>
      <c r="F837" s="15" t="s">
        <v>180</v>
      </c>
      <c r="G837" s="18">
        <v>50</v>
      </c>
    </row>
    <row r="838" spans="1:7" ht="32.25" customHeight="1">
      <c r="A838" s="16" t="s">
        <v>1927</v>
      </c>
      <c r="B838" s="51" t="s">
        <v>1968</v>
      </c>
      <c r="C838" s="15" t="s">
        <v>98</v>
      </c>
      <c r="D838" s="15" t="s">
        <v>1624</v>
      </c>
      <c r="E838" s="15" t="s">
        <v>525</v>
      </c>
      <c r="F838" s="15" t="s">
        <v>180</v>
      </c>
      <c r="G838" s="18">
        <v>100</v>
      </c>
    </row>
    <row r="839" spans="1:7" ht="24.75" customHeight="1">
      <c r="A839" s="16" t="s">
        <v>1928</v>
      </c>
      <c r="B839" s="51" t="s">
        <v>1968</v>
      </c>
      <c r="C839" s="15" t="s">
        <v>98</v>
      </c>
      <c r="D839" s="15" t="s">
        <v>1624</v>
      </c>
      <c r="E839" s="15" t="s">
        <v>525</v>
      </c>
      <c r="F839" s="15" t="s">
        <v>180</v>
      </c>
      <c r="G839" s="18">
        <v>70</v>
      </c>
    </row>
    <row r="840" spans="1:7" ht="33.75" customHeight="1">
      <c r="A840" s="16" t="s">
        <v>653</v>
      </c>
      <c r="B840" s="51" t="s">
        <v>1968</v>
      </c>
      <c r="C840" s="15" t="s">
        <v>98</v>
      </c>
      <c r="D840" s="15" t="s">
        <v>1624</v>
      </c>
      <c r="E840" s="15" t="s">
        <v>525</v>
      </c>
      <c r="F840" s="15" t="s">
        <v>180</v>
      </c>
      <c r="G840" s="18">
        <v>794</v>
      </c>
    </row>
    <row r="841" spans="1:7" ht="18.75" customHeight="1">
      <c r="A841" s="16" t="s">
        <v>674</v>
      </c>
      <c r="B841" s="51" t="s">
        <v>1968</v>
      </c>
      <c r="C841" s="15" t="s">
        <v>98</v>
      </c>
      <c r="D841" s="15" t="s">
        <v>1624</v>
      </c>
      <c r="E841" s="15" t="s">
        <v>525</v>
      </c>
      <c r="F841" s="15" t="s">
        <v>180</v>
      </c>
      <c r="G841" s="18">
        <v>358.3</v>
      </c>
    </row>
    <row r="842" spans="1:7" ht="21" customHeight="1">
      <c r="A842" s="16" t="s">
        <v>1998</v>
      </c>
      <c r="B842" s="51" t="s">
        <v>1968</v>
      </c>
      <c r="C842" s="15" t="s">
        <v>98</v>
      </c>
      <c r="D842" s="15" t="s">
        <v>1624</v>
      </c>
      <c r="E842" s="15" t="s">
        <v>525</v>
      </c>
      <c r="F842" s="15" t="s">
        <v>180</v>
      </c>
      <c r="G842" s="18">
        <v>100</v>
      </c>
    </row>
    <row r="843" spans="1:7" ht="23.25" customHeight="1">
      <c r="A843" s="16" t="s">
        <v>786</v>
      </c>
      <c r="B843" s="51" t="s">
        <v>1968</v>
      </c>
      <c r="C843" s="15" t="s">
        <v>98</v>
      </c>
      <c r="D843" s="15" t="s">
        <v>1624</v>
      </c>
      <c r="E843" s="15" t="s">
        <v>525</v>
      </c>
      <c r="F843" s="15" t="s">
        <v>180</v>
      </c>
      <c r="G843" s="18">
        <v>150</v>
      </c>
    </row>
    <row r="844" spans="1:7" ht="23.25" customHeight="1" hidden="1">
      <c r="A844" s="16" t="s">
        <v>161</v>
      </c>
      <c r="B844" s="51" t="s">
        <v>1968</v>
      </c>
      <c r="C844" s="15" t="s">
        <v>98</v>
      </c>
      <c r="D844" s="15" t="s">
        <v>1624</v>
      </c>
      <c r="E844" s="15" t="s">
        <v>525</v>
      </c>
      <c r="F844" s="15" t="s">
        <v>180</v>
      </c>
      <c r="G844" s="18">
        <v>0</v>
      </c>
    </row>
    <row r="845" spans="1:7" ht="18" customHeight="1">
      <c r="A845" s="16" t="s">
        <v>1432</v>
      </c>
      <c r="B845" s="51" t="s">
        <v>1968</v>
      </c>
      <c r="C845" s="15" t="s">
        <v>98</v>
      </c>
      <c r="D845" s="15" t="s">
        <v>1624</v>
      </c>
      <c r="E845" s="15" t="s">
        <v>525</v>
      </c>
      <c r="F845" s="15" t="s">
        <v>1433</v>
      </c>
      <c r="G845" s="18">
        <f>G846+G847</f>
        <v>83104.3</v>
      </c>
    </row>
    <row r="846" spans="1:7" ht="22.5" customHeight="1">
      <c r="A846" s="16" t="s">
        <v>395</v>
      </c>
      <c r="B846" s="51" t="s">
        <v>1968</v>
      </c>
      <c r="C846" s="15" t="s">
        <v>98</v>
      </c>
      <c r="D846" s="15" t="s">
        <v>1624</v>
      </c>
      <c r="E846" s="15" t="s">
        <v>525</v>
      </c>
      <c r="F846" s="15" t="s">
        <v>1434</v>
      </c>
      <c r="G846" s="18">
        <f>77501-1000-620+1549.3+1844</f>
        <v>79274.3</v>
      </c>
    </row>
    <row r="847" spans="1:7" ht="18" customHeight="1">
      <c r="A847" s="16" t="s">
        <v>556</v>
      </c>
      <c r="B847" s="51" t="s">
        <v>1968</v>
      </c>
      <c r="C847" s="15" t="s">
        <v>98</v>
      </c>
      <c r="D847" s="15" t="s">
        <v>1624</v>
      </c>
      <c r="E847" s="15" t="s">
        <v>525</v>
      </c>
      <c r="F847" s="15" t="s">
        <v>1196</v>
      </c>
      <c r="G847" s="18">
        <f>G848+G849+G850+G851+G852+G853+G854+G855</f>
        <v>3830</v>
      </c>
    </row>
    <row r="848" spans="1:7" ht="27.75" customHeight="1">
      <c r="A848" s="16" t="s">
        <v>1662</v>
      </c>
      <c r="B848" s="51" t="s">
        <v>1968</v>
      </c>
      <c r="C848" s="15" t="s">
        <v>98</v>
      </c>
      <c r="D848" s="15" t="s">
        <v>1624</v>
      </c>
      <c r="E848" s="15" t="s">
        <v>525</v>
      </c>
      <c r="F848" s="15" t="s">
        <v>1196</v>
      </c>
      <c r="G848" s="18">
        <v>220</v>
      </c>
    </row>
    <row r="849" spans="1:7" ht="30" customHeight="1">
      <c r="A849" s="16" t="s">
        <v>491</v>
      </c>
      <c r="B849" s="51" t="s">
        <v>1968</v>
      </c>
      <c r="C849" s="15" t="s">
        <v>98</v>
      </c>
      <c r="D849" s="15" t="s">
        <v>1624</v>
      </c>
      <c r="E849" s="15" t="s">
        <v>525</v>
      </c>
      <c r="F849" s="15" t="s">
        <v>1196</v>
      </c>
      <c r="G849" s="18">
        <f>400-140</f>
        <v>260</v>
      </c>
    </row>
    <row r="850" spans="1:7" ht="23.25" customHeight="1">
      <c r="A850" s="16" t="s">
        <v>237</v>
      </c>
      <c r="B850" s="51" t="s">
        <v>1968</v>
      </c>
      <c r="C850" s="15" t="s">
        <v>98</v>
      </c>
      <c r="D850" s="15" t="s">
        <v>1624</v>
      </c>
      <c r="E850" s="15" t="s">
        <v>525</v>
      </c>
      <c r="F850" s="15" t="s">
        <v>1196</v>
      </c>
      <c r="G850" s="18">
        <f>1000+250</f>
        <v>1250</v>
      </c>
    </row>
    <row r="851" spans="1:7" ht="27.75" customHeight="1">
      <c r="A851" s="16" t="s">
        <v>434</v>
      </c>
      <c r="B851" s="51" t="s">
        <v>1968</v>
      </c>
      <c r="C851" s="15" t="s">
        <v>98</v>
      </c>
      <c r="D851" s="15" t="s">
        <v>1624</v>
      </c>
      <c r="E851" s="15" t="s">
        <v>525</v>
      </c>
      <c r="F851" s="15" t="s">
        <v>1196</v>
      </c>
      <c r="G851" s="18">
        <v>220</v>
      </c>
    </row>
    <row r="852" spans="1:7" ht="27.75" customHeight="1">
      <c r="A852" s="16" t="s">
        <v>920</v>
      </c>
      <c r="B852" s="51" t="s">
        <v>1968</v>
      </c>
      <c r="C852" s="15" t="s">
        <v>98</v>
      </c>
      <c r="D852" s="15" t="s">
        <v>1624</v>
      </c>
      <c r="E852" s="15" t="s">
        <v>525</v>
      </c>
      <c r="F852" s="15" t="s">
        <v>1196</v>
      </c>
      <c r="G852" s="18">
        <f>300+400-220-80</f>
        <v>400</v>
      </c>
    </row>
    <row r="853" spans="1:7" ht="27.75" customHeight="1">
      <c r="A853" s="16" t="s">
        <v>1355</v>
      </c>
      <c r="B853" s="51" t="s">
        <v>1968</v>
      </c>
      <c r="C853" s="15" t="s">
        <v>98</v>
      </c>
      <c r="D853" s="15" t="s">
        <v>1624</v>
      </c>
      <c r="E853" s="15" t="s">
        <v>525</v>
      </c>
      <c r="F853" s="15" t="s">
        <v>1196</v>
      </c>
      <c r="G853" s="18">
        <v>320</v>
      </c>
    </row>
    <row r="854" spans="1:7" ht="21" customHeight="1">
      <c r="A854" s="16" t="s">
        <v>369</v>
      </c>
      <c r="B854" s="51" t="s">
        <v>1968</v>
      </c>
      <c r="C854" s="15" t="s">
        <v>98</v>
      </c>
      <c r="D854" s="15" t="s">
        <v>1624</v>
      </c>
      <c r="E854" s="15" t="s">
        <v>1166</v>
      </c>
      <c r="F854" s="15" t="s">
        <v>1196</v>
      </c>
      <c r="G854" s="18">
        <f>700+350+210-592.9-100</f>
        <v>567.1</v>
      </c>
    </row>
    <row r="855" spans="1:7" ht="18" customHeight="1">
      <c r="A855" s="16" t="s">
        <v>828</v>
      </c>
      <c r="B855" s="51" t="s">
        <v>1968</v>
      </c>
      <c r="C855" s="15" t="s">
        <v>98</v>
      </c>
      <c r="D855" s="15" t="s">
        <v>1624</v>
      </c>
      <c r="E855" s="15" t="s">
        <v>1166</v>
      </c>
      <c r="F855" s="15" t="s">
        <v>1196</v>
      </c>
      <c r="G855" s="18">
        <v>592.9</v>
      </c>
    </row>
    <row r="856" spans="1:7" ht="17.25" customHeight="1">
      <c r="A856" s="190" t="s">
        <v>756</v>
      </c>
      <c r="B856" s="49" t="s">
        <v>1969</v>
      </c>
      <c r="C856" s="49"/>
      <c r="D856" s="49"/>
      <c r="E856" s="49"/>
      <c r="F856" s="49"/>
      <c r="G856" s="50">
        <f>G857+G952+G958+G1003+G1092+G1205+G1212+G1216+G1238+G1233+G1375+G1389+G1398+G1402</f>
        <v>1664908.7</v>
      </c>
    </row>
    <row r="857" spans="1:7" ht="15">
      <c r="A857" s="54" t="s">
        <v>432</v>
      </c>
      <c r="B857" s="51" t="s">
        <v>1969</v>
      </c>
      <c r="C857" s="15" t="s">
        <v>1624</v>
      </c>
      <c r="D857" s="15"/>
      <c r="E857" s="15"/>
      <c r="F857" s="15"/>
      <c r="G857" s="18">
        <f>G858+G885+G889+G895+G899+G892</f>
        <v>444518</v>
      </c>
    </row>
    <row r="858" spans="1:7" ht="36">
      <c r="A858" s="29" t="s">
        <v>537</v>
      </c>
      <c r="B858" s="51" t="s">
        <v>1969</v>
      </c>
      <c r="C858" s="15" t="s">
        <v>1624</v>
      </c>
      <c r="D858" s="15" t="s">
        <v>439</v>
      </c>
      <c r="E858" s="15"/>
      <c r="F858" s="15"/>
      <c r="G858" s="18">
        <f>G859+G872</f>
        <v>254817.6</v>
      </c>
    </row>
    <row r="859" spans="1:7" ht="15">
      <c r="A859" s="30" t="s">
        <v>499</v>
      </c>
      <c r="B859" s="51" t="s">
        <v>1969</v>
      </c>
      <c r="C859" s="15" t="s">
        <v>1624</v>
      </c>
      <c r="D859" s="15" t="s">
        <v>439</v>
      </c>
      <c r="E859" s="15" t="s">
        <v>1543</v>
      </c>
      <c r="F859" s="15"/>
      <c r="G859" s="18">
        <f>G860+G869</f>
        <v>237555.6</v>
      </c>
    </row>
    <row r="860" spans="1:7" ht="24">
      <c r="A860" s="16" t="s">
        <v>500</v>
      </c>
      <c r="B860" s="51" t="s">
        <v>1969</v>
      </c>
      <c r="C860" s="15" t="s">
        <v>1624</v>
      </c>
      <c r="D860" s="15" t="s">
        <v>439</v>
      </c>
      <c r="E860" s="15" t="s">
        <v>229</v>
      </c>
      <c r="F860" s="15" t="s">
        <v>575</v>
      </c>
      <c r="G860" s="18">
        <f>G861+G862+G863+G867+G868</f>
        <v>231936.4</v>
      </c>
    </row>
    <row r="861" spans="1:7" ht="24">
      <c r="A861" s="35" t="s">
        <v>382</v>
      </c>
      <c r="B861" s="51" t="s">
        <v>1969</v>
      </c>
      <c r="C861" s="15" t="s">
        <v>1624</v>
      </c>
      <c r="D861" s="15" t="s">
        <v>439</v>
      </c>
      <c r="E861" s="15" t="s">
        <v>229</v>
      </c>
      <c r="F861" s="15" t="s">
        <v>383</v>
      </c>
      <c r="G861" s="18">
        <f>187966+957+0.1</f>
        <v>188923.1</v>
      </c>
    </row>
    <row r="862" spans="1:7" ht="24">
      <c r="A862" s="16" t="s">
        <v>921</v>
      </c>
      <c r="B862" s="51" t="s">
        <v>1969</v>
      </c>
      <c r="C862" s="15" t="s">
        <v>1624</v>
      </c>
      <c r="D862" s="15" t="s">
        <v>439</v>
      </c>
      <c r="E862" s="15" t="s">
        <v>229</v>
      </c>
      <c r="F862" s="15" t="s">
        <v>385</v>
      </c>
      <c r="G862" s="18">
        <v>50</v>
      </c>
    </row>
    <row r="863" spans="1:7" ht="24">
      <c r="A863" s="35" t="s">
        <v>528</v>
      </c>
      <c r="B863" s="51" t="s">
        <v>1969</v>
      </c>
      <c r="C863" s="15" t="s">
        <v>1624</v>
      </c>
      <c r="D863" s="15" t="s">
        <v>439</v>
      </c>
      <c r="E863" s="15" t="s">
        <v>229</v>
      </c>
      <c r="F863" s="15" t="s">
        <v>1644</v>
      </c>
      <c r="G863" s="18">
        <f>G864+G865+G866</f>
        <v>42953.299999999996</v>
      </c>
    </row>
    <row r="864" spans="1:7" ht="24">
      <c r="A864" s="35" t="s">
        <v>848</v>
      </c>
      <c r="B864" s="51" t="s">
        <v>1969</v>
      </c>
      <c r="C864" s="15" t="s">
        <v>1624</v>
      </c>
      <c r="D864" s="15" t="s">
        <v>439</v>
      </c>
      <c r="E864" s="15" t="s">
        <v>229</v>
      </c>
      <c r="F864" s="15" t="s">
        <v>846</v>
      </c>
      <c r="G864" s="18">
        <f>9406+200+1500+3+318+10+820+950+175</f>
        <v>13382</v>
      </c>
    </row>
    <row r="865" spans="1:7" ht="24">
      <c r="A865" s="35" t="s">
        <v>95</v>
      </c>
      <c r="B865" s="51" t="s">
        <v>1969</v>
      </c>
      <c r="C865" s="15" t="s">
        <v>1624</v>
      </c>
      <c r="D865" s="15" t="s">
        <v>439</v>
      </c>
      <c r="E865" s="15" t="s">
        <v>229</v>
      </c>
      <c r="F865" s="15" t="s">
        <v>699</v>
      </c>
      <c r="G865" s="18">
        <f>2993.5+30.6</f>
        <v>3024.1</v>
      </c>
    </row>
    <row r="866" spans="1:7" ht="24">
      <c r="A866" s="35" t="s">
        <v>1535</v>
      </c>
      <c r="B866" s="51" t="s">
        <v>1969</v>
      </c>
      <c r="C866" s="15" t="s">
        <v>1624</v>
      </c>
      <c r="D866" s="15" t="s">
        <v>439</v>
      </c>
      <c r="E866" s="15" t="s">
        <v>229</v>
      </c>
      <c r="F866" s="15" t="s">
        <v>1536</v>
      </c>
      <c r="G866" s="18">
        <f>25666.8-30.7+911.1</f>
        <v>26547.199999999997</v>
      </c>
    </row>
    <row r="867" spans="1:7" ht="51.75" customHeight="1" hidden="1">
      <c r="A867" s="35" t="s">
        <v>716</v>
      </c>
      <c r="B867" s="51" t="s">
        <v>1969</v>
      </c>
      <c r="C867" s="15" t="s">
        <v>1624</v>
      </c>
      <c r="D867" s="15" t="s">
        <v>439</v>
      </c>
      <c r="E867" s="15" t="s">
        <v>229</v>
      </c>
      <c r="F867" s="15" t="s">
        <v>1659</v>
      </c>
      <c r="G867" s="18">
        <f>200+3000+47.7+20-3267.7</f>
        <v>0</v>
      </c>
    </row>
    <row r="868" spans="1:7" ht="24">
      <c r="A868" s="16" t="s">
        <v>1020</v>
      </c>
      <c r="B868" s="51" t="s">
        <v>1969</v>
      </c>
      <c r="C868" s="15" t="s">
        <v>1624</v>
      </c>
      <c r="D868" s="15" t="s">
        <v>439</v>
      </c>
      <c r="E868" s="15" t="s">
        <v>229</v>
      </c>
      <c r="F868" s="15" t="s">
        <v>1021</v>
      </c>
      <c r="G868" s="18">
        <v>10</v>
      </c>
    </row>
    <row r="869" spans="1:7" ht="24">
      <c r="A869" s="16" t="s">
        <v>1665</v>
      </c>
      <c r="B869" s="51" t="s">
        <v>1969</v>
      </c>
      <c r="C869" s="15" t="s">
        <v>1624</v>
      </c>
      <c r="D869" s="15" t="s">
        <v>439</v>
      </c>
      <c r="E869" s="15" t="s">
        <v>1635</v>
      </c>
      <c r="F869" s="15" t="s">
        <v>575</v>
      </c>
      <c r="G869" s="18">
        <f>G870</f>
        <v>5619.2</v>
      </c>
    </row>
    <row r="870" spans="1:7" ht="24">
      <c r="A870" s="16" t="s">
        <v>1665</v>
      </c>
      <c r="B870" s="51" t="s">
        <v>1969</v>
      </c>
      <c r="C870" s="15" t="s">
        <v>1624</v>
      </c>
      <c r="D870" s="15" t="s">
        <v>439</v>
      </c>
      <c r="E870" s="15" t="s">
        <v>1635</v>
      </c>
      <c r="F870" s="15" t="s">
        <v>1066</v>
      </c>
      <c r="G870" s="18">
        <v>5619.2</v>
      </c>
    </row>
    <row r="871" spans="1:7" ht="24.75" hidden="1">
      <c r="A871" s="35" t="s">
        <v>528</v>
      </c>
      <c r="B871" s="51" t="s">
        <v>1969</v>
      </c>
      <c r="C871" s="15" t="s">
        <v>1624</v>
      </c>
      <c r="D871" s="15" t="s">
        <v>439</v>
      </c>
      <c r="E871" s="15" t="s">
        <v>398</v>
      </c>
      <c r="F871" s="15" t="s">
        <v>1644</v>
      </c>
      <c r="G871" s="18"/>
    </row>
    <row r="872" spans="1:7" ht="15">
      <c r="A872" s="31" t="s">
        <v>1148</v>
      </c>
      <c r="B872" s="51" t="s">
        <v>1969</v>
      </c>
      <c r="C872" s="15" t="s">
        <v>1624</v>
      </c>
      <c r="D872" s="15" t="s">
        <v>439</v>
      </c>
      <c r="E872" s="15" t="s">
        <v>1149</v>
      </c>
      <c r="F872" s="15"/>
      <c r="G872" s="18">
        <f>G873+G878+G883</f>
        <v>17262</v>
      </c>
    </row>
    <row r="873" spans="1:7" ht="60">
      <c r="A873" s="35" t="s">
        <v>1065</v>
      </c>
      <c r="B873" s="51" t="s">
        <v>1969</v>
      </c>
      <c r="C873" s="15" t="s">
        <v>1624</v>
      </c>
      <c r="D873" s="15" t="s">
        <v>439</v>
      </c>
      <c r="E873" s="15" t="s">
        <v>169</v>
      </c>
      <c r="F873" s="15" t="s">
        <v>575</v>
      </c>
      <c r="G873" s="18">
        <f>G874+G875</f>
        <v>4792</v>
      </c>
    </row>
    <row r="874" spans="1:7" ht="24">
      <c r="A874" s="35" t="s">
        <v>382</v>
      </c>
      <c r="B874" s="51" t="s">
        <v>1969</v>
      </c>
      <c r="C874" s="15" t="s">
        <v>1624</v>
      </c>
      <c r="D874" s="15" t="s">
        <v>439</v>
      </c>
      <c r="E874" s="15" t="s">
        <v>169</v>
      </c>
      <c r="F874" s="15" t="s">
        <v>383</v>
      </c>
      <c r="G874" s="18">
        <f>3730+21.5</f>
        <v>3751.5</v>
      </c>
    </row>
    <row r="875" spans="1:7" ht="24">
      <c r="A875" s="35" t="s">
        <v>528</v>
      </c>
      <c r="B875" s="51" t="s">
        <v>1969</v>
      </c>
      <c r="C875" s="15" t="s">
        <v>1624</v>
      </c>
      <c r="D875" s="15" t="s">
        <v>439</v>
      </c>
      <c r="E875" s="15" t="s">
        <v>169</v>
      </c>
      <c r="F875" s="15" t="s">
        <v>1644</v>
      </c>
      <c r="G875" s="18">
        <f>G876+G877</f>
        <v>1040.5</v>
      </c>
    </row>
    <row r="876" spans="1:7" ht="24">
      <c r="A876" s="35" t="s">
        <v>848</v>
      </c>
      <c r="B876" s="51" t="s">
        <v>1969</v>
      </c>
      <c r="C876" s="15" t="s">
        <v>1624</v>
      </c>
      <c r="D876" s="15" t="s">
        <v>439</v>
      </c>
      <c r="E876" s="15" t="s">
        <v>169</v>
      </c>
      <c r="F876" s="15" t="s">
        <v>846</v>
      </c>
      <c r="G876" s="18">
        <f>400-0.6</f>
        <v>399.4</v>
      </c>
    </row>
    <row r="877" spans="1:7" ht="24">
      <c r="A877" s="35" t="s">
        <v>1535</v>
      </c>
      <c r="B877" s="51" t="s">
        <v>1969</v>
      </c>
      <c r="C877" s="15" t="s">
        <v>1624</v>
      </c>
      <c r="D877" s="15" t="s">
        <v>439</v>
      </c>
      <c r="E877" s="15" t="s">
        <v>169</v>
      </c>
      <c r="F877" s="15" t="s">
        <v>1536</v>
      </c>
      <c r="G877" s="18">
        <f>640.5+0.6</f>
        <v>641.1</v>
      </c>
    </row>
    <row r="878" spans="1:7" ht="62.25" customHeight="1">
      <c r="A878" s="16" t="s">
        <v>759</v>
      </c>
      <c r="B878" s="51" t="s">
        <v>1969</v>
      </c>
      <c r="C878" s="15" t="s">
        <v>1624</v>
      </c>
      <c r="D878" s="15" t="s">
        <v>439</v>
      </c>
      <c r="E878" s="15" t="s">
        <v>170</v>
      </c>
      <c r="F878" s="15" t="s">
        <v>575</v>
      </c>
      <c r="G878" s="18">
        <f>G879+G880</f>
        <v>8659</v>
      </c>
    </row>
    <row r="879" spans="1:7" ht="24">
      <c r="A879" s="35" t="s">
        <v>382</v>
      </c>
      <c r="B879" s="51" t="s">
        <v>1969</v>
      </c>
      <c r="C879" s="15" t="s">
        <v>1624</v>
      </c>
      <c r="D879" s="15" t="s">
        <v>439</v>
      </c>
      <c r="E879" s="15" t="s">
        <v>170</v>
      </c>
      <c r="F879" s="15" t="s">
        <v>383</v>
      </c>
      <c r="G879" s="18">
        <f>5401.2+228.7</f>
        <v>5629.9</v>
      </c>
    </row>
    <row r="880" spans="1:7" ht="24">
      <c r="A880" s="35" t="s">
        <v>528</v>
      </c>
      <c r="B880" s="51" t="s">
        <v>1969</v>
      </c>
      <c r="C880" s="15" t="s">
        <v>1624</v>
      </c>
      <c r="D880" s="15" t="s">
        <v>439</v>
      </c>
      <c r="E880" s="15" t="s">
        <v>170</v>
      </c>
      <c r="F880" s="15" t="s">
        <v>1644</v>
      </c>
      <c r="G880" s="18">
        <f>G881+G882</f>
        <v>3029.1</v>
      </c>
    </row>
    <row r="881" spans="1:7" ht="24">
      <c r="A881" s="35" t="s">
        <v>848</v>
      </c>
      <c r="B881" s="51" t="s">
        <v>1969</v>
      </c>
      <c r="C881" s="15" t="s">
        <v>1624</v>
      </c>
      <c r="D881" s="15" t="s">
        <v>439</v>
      </c>
      <c r="E881" s="15" t="s">
        <v>170</v>
      </c>
      <c r="F881" s="15" t="s">
        <v>846</v>
      </c>
      <c r="G881" s="18">
        <v>475.6</v>
      </c>
    </row>
    <row r="882" spans="1:7" ht="24">
      <c r="A882" s="35" t="s">
        <v>1535</v>
      </c>
      <c r="B882" s="51" t="s">
        <v>1969</v>
      </c>
      <c r="C882" s="15" t="s">
        <v>1624</v>
      </c>
      <c r="D882" s="15" t="s">
        <v>439</v>
      </c>
      <c r="E882" s="15" t="s">
        <v>170</v>
      </c>
      <c r="F882" s="15" t="s">
        <v>1536</v>
      </c>
      <c r="G882" s="18">
        <v>2553.5</v>
      </c>
    </row>
    <row r="883" spans="1:7" ht="36">
      <c r="A883" s="35" t="s">
        <v>397</v>
      </c>
      <c r="B883" s="51" t="s">
        <v>1969</v>
      </c>
      <c r="C883" s="15" t="s">
        <v>1624</v>
      </c>
      <c r="D883" s="15" t="s">
        <v>439</v>
      </c>
      <c r="E883" s="15" t="s">
        <v>171</v>
      </c>
      <c r="F883" s="15" t="s">
        <v>575</v>
      </c>
      <c r="G883" s="18">
        <f>G884+G885</f>
        <v>3811</v>
      </c>
    </row>
    <row r="884" spans="1:7" ht="24">
      <c r="A884" s="35" t="s">
        <v>382</v>
      </c>
      <c r="B884" s="51" t="s">
        <v>1969</v>
      </c>
      <c r="C884" s="15" t="s">
        <v>1624</v>
      </c>
      <c r="D884" s="15" t="s">
        <v>439</v>
      </c>
      <c r="E884" s="15" t="s">
        <v>171</v>
      </c>
      <c r="F884" s="15" t="s">
        <v>383</v>
      </c>
      <c r="G884" s="18">
        <v>3811</v>
      </c>
    </row>
    <row r="885" spans="1:7" ht="18" customHeight="1" hidden="1">
      <c r="A885" s="75" t="s">
        <v>1625</v>
      </c>
      <c r="B885" s="51" t="s">
        <v>1969</v>
      </c>
      <c r="C885" s="15" t="s">
        <v>1624</v>
      </c>
      <c r="D885" s="15" t="s">
        <v>1648</v>
      </c>
      <c r="E885" s="15"/>
      <c r="F885" s="15"/>
      <c r="G885" s="18">
        <f>G886</f>
        <v>0</v>
      </c>
    </row>
    <row r="886" spans="1:7" ht="23.25" customHeight="1" hidden="1">
      <c r="A886" s="16" t="s">
        <v>1656</v>
      </c>
      <c r="B886" s="51" t="s">
        <v>1969</v>
      </c>
      <c r="C886" s="15" t="s">
        <v>1624</v>
      </c>
      <c r="D886" s="15" t="s">
        <v>1648</v>
      </c>
      <c r="E886" s="15" t="s">
        <v>748</v>
      </c>
      <c r="F886" s="15" t="s">
        <v>575</v>
      </c>
      <c r="G886" s="18">
        <f>G887+G888</f>
        <v>0</v>
      </c>
    </row>
    <row r="887" spans="1:7" ht="20.25" customHeight="1" hidden="1">
      <c r="A887" s="16" t="s">
        <v>698</v>
      </c>
      <c r="B887" s="51" t="s">
        <v>1969</v>
      </c>
      <c r="C887" s="15" t="s">
        <v>1624</v>
      </c>
      <c r="D887" s="15" t="s">
        <v>1648</v>
      </c>
      <c r="E887" s="15" t="s">
        <v>748</v>
      </c>
      <c r="F887" s="15" t="s">
        <v>463</v>
      </c>
      <c r="G887" s="18"/>
    </row>
    <row r="888" spans="1:7" ht="20.25" customHeight="1" hidden="1">
      <c r="A888" s="16" t="s">
        <v>1019</v>
      </c>
      <c r="B888" s="51" t="s">
        <v>1969</v>
      </c>
      <c r="C888" s="15" t="s">
        <v>1624</v>
      </c>
      <c r="D888" s="15" t="s">
        <v>1648</v>
      </c>
      <c r="E888" s="15" t="s">
        <v>748</v>
      </c>
      <c r="F888" s="15" t="s">
        <v>1644</v>
      </c>
      <c r="G888" s="18"/>
    </row>
    <row r="889" spans="1:7" ht="15.75" hidden="1">
      <c r="A889" s="75" t="s">
        <v>726</v>
      </c>
      <c r="B889" s="51" t="s">
        <v>1969</v>
      </c>
      <c r="C889" s="15" t="s">
        <v>1624</v>
      </c>
      <c r="D889" s="15" t="s">
        <v>1651</v>
      </c>
      <c r="E889" s="15"/>
      <c r="F889" s="15"/>
      <c r="G889" s="18">
        <f>G890</f>
        <v>0</v>
      </c>
    </row>
    <row r="890" spans="1:7" ht="24.75" hidden="1">
      <c r="A890" s="16" t="s">
        <v>696</v>
      </c>
      <c r="B890" s="51" t="s">
        <v>1969</v>
      </c>
      <c r="C890" s="15" t="s">
        <v>1624</v>
      </c>
      <c r="D890" s="15" t="s">
        <v>1651</v>
      </c>
      <c r="E890" s="15" t="s">
        <v>697</v>
      </c>
      <c r="F890" s="15" t="s">
        <v>575</v>
      </c>
      <c r="G890" s="18">
        <f>G891</f>
        <v>0</v>
      </c>
    </row>
    <row r="891" spans="1:7" ht="24.75" hidden="1">
      <c r="A891" s="16" t="s">
        <v>698</v>
      </c>
      <c r="B891" s="51" t="s">
        <v>1969</v>
      </c>
      <c r="C891" s="15" t="s">
        <v>1624</v>
      </c>
      <c r="D891" s="15" t="s">
        <v>1651</v>
      </c>
      <c r="E891" s="15" t="s">
        <v>697</v>
      </c>
      <c r="F891" s="15" t="s">
        <v>463</v>
      </c>
      <c r="G891" s="18"/>
    </row>
    <row r="892" spans="1:7" ht="15.75" customHeight="1" hidden="1">
      <c r="A892" s="75" t="s">
        <v>646</v>
      </c>
      <c r="B892" s="51" t="s">
        <v>1969</v>
      </c>
      <c r="C892" s="15" t="s">
        <v>1624</v>
      </c>
      <c r="D892" s="15" t="s">
        <v>1990</v>
      </c>
      <c r="E892" s="15"/>
      <c r="F892" s="15"/>
      <c r="G892" s="18">
        <f>G893</f>
        <v>0</v>
      </c>
    </row>
    <row r="893" spans="1:7" ht="22.5" customHeight="1" hidden="1">
      <c r="A893" s="16" t="s">
        <v>36</v>
      </c>
      <c r="B893" s="51" t="s">
        <v>1969</v>
      </c>
      <c r="C893" s="15" t="s">
        <v>1624</v>
      </c>
      <c r="D893" s="15" t="s">
        <v>1990</v>
      </c>
      <c r="E893" s="15" t="s">
        <v>1162</v>
      </c>
      <c r="F893" s="15"/>
      <c r="G893" s="18">
        <f>G894</f>
        <v>0</v>
      </c>
    </row>
    <row r="894" spans="1:7" ht="17.25" customHeight="1" hidden="1">
      <c r="A894" s="16" t="s">
        <v>1163</v>
      </c>
      <c r="B894" s="51" t="s">
        <v>1969</v>
      </c>
      <c r="C894" s="15" t="s">
        <v>1624</v>
      </c>
      <c r="D894" s="15" t="s">
        <v>1990</v>
      </c>
      <c r="E894" s="15" t="s">
        <v>1162</v>
      </c>
      <c r="F894" s="15" t="s">
        <v>1164</v>
      </c>
      <c r="G894" s="18"/>
    </row>
    <row r="895" spans="1:7" ht="15">
      <c r="A895" s="29" t="s">
        <v>573</v>
      </c>
      <c r="B895" s="51" t="s">
        <v>1969</v>
      </c>
      <c r="C895" s="15" t="s">
        <v>1624</v>
      </c>
      <c r="D895" s="15" t="s">
        <v>98</v>
      </c>
      <c r="E895" s="15"/>
      <c r="F895" s="15"/>
      <c r="G895" s="18">
        <f>G896</f>
        <v>7246</v>
      </c>
    </row>
    <row r="896" spans="1:7" ht="15">
      <c r="A896" s="30" t="s">
        <v>573</v>
      </c>
      <c r="B896" s="51" t="s">
        <v>1969</v>
      </c>
      <c r="C896" s="15" t="s">
        <v>1624</v>
      </c>
      <c r="D896" s="15" t="s">
        <v>98</v>
      </c>
      <c r="E896" s="15" t="s">
        <v>984</v>
      </c>
      <c r="F896" s="15"/>
      <c r="G896" s="18">
        <f>G897</f>
        <v>7246</v>
      </c>
    </row>
    <row r="897" spans="1:7" ht="24">
      <c r="A897" s="16" t="s">
        <v>18</v>
      </c>
      <c r="B897" s="51" t="s">
        <v>1969</v>
      </c>
      <c r="C897" s="15" t="s">
        <v>1624</v>
      </c>
      <c r="D897" s="15" t="s">
        <v>98</v>
      </c>
      <c r="E897" s="15" t="s">
        <v>19</v>
      </c>
      <c r="F897" s="15" t="s">
        <v>575</v>
      </c>
      <c r="G897" s="18">
        <f>G898</f>
        <v>7246</v>
      </c>
    </row>
    <row r="898" spans="1:7" ht="15.75" customHeight="1">
      <c r="A898" s="16" t="s">
        <v>717</v>
      </c>
      <c r="B898" s="51" t="s">
        <v>1969</v>
      </c>
      <c r="C898" s="15" t="s">
        <v>1624</v>
      </c>
      <c r="D898" s="15" t="s">
        <v>98</v>
      </c>
      <c r="E898" s="15" t="s">
        <v>19</v>
      </c>
      <c r="F898" s="15" t="s">
        <v>718</v>
      </c>
      <c r="G898" s="18">
        <f>7261-15</f>
        <v>7246</v>
      </c>
    </row>
    <row r="899" spans="1:7" ht="15">
      <c r="A899" s="29" t="s">
        <v>1617</v>
      </c>
      <c r="B899" s="51" t="s">
        <v>1969</v>
      </c>
      <c r="C899" s="15" t="s">
        <v>1624</v>
      </c>
      <c r="D899" s="15" t="s">
        <v>714</v>
      </c>
      <c r="E899" s="15"/>
      <c r="F899" s="15"/>
      <c r="G899" s="18">
        <f>G900+G902+G922+G939+G949+G945</f>
        <v>182454.39999999997</v>
      </c>
    </row>
    <row r="900" spans="1:7" ht="30" customHeight="1" hidden="1">
      <c r="A900" s="29" t="s">
        <v>1993</v>
      </c>
      <c r="B900" s="51" t="s">
        <v>1969</v>
      </c>
      <c r="C900" s="15" t="s">
        <v>1624</v>
      </c>
      <c r="D900" s="15" t="s">
        <v>714</v>
      </c>
      <c r="E900" s="15" t="s">
        <v>1994</v>
      </c>
      <c r="F900" s="15"/>
      <c r="G900" s="18">
        <f>G901</f>
        <v>0</v>
      </c>
    </row>
    <row r="901" spans="1:7" ht="21" customHeight="1" hidden="1">
      <c r="A901" s="16" t="s">
        <v>1104</v>
      </c>
      <c r="B901" s="51" t="s">
        <v>1969</v>
      </c>
      <c r="C901" s="15" t="s">
        <v>1624</v>
      </c>
      <c r="D901" s="15" t="s">
        <v>714</v>
      </c>
      <c r="E901" s="15" t="s">
        <v>1994</v>
      </c>
      <c r="F901" s="15" t="s">
        <v>139</v>
      </c>
      <c r="G901" s="18"/>
    </row>
    <row r="902" spans="1:7" ht="36">
      <c r="A902" s="31" t="s">
        <v>1542</v>
      </c>
      <c r="B902" s="51" t="s">
        <v>1969</v>
      </c>
      <c r="C902" s="15" t="s">
        <v>1624</v>
      </c>
      <c r="D902" s="15" t="s">
        <v>714</v>
      </c>
      <c r="E902" s="15" t="s">
        <v>1543</v>
      </c>
      <c r="F902" s="15"/>
      <c r="G902" s="18">
        <f>G903+G911+G913+G920</f>
        <v>66905.9</v>
      </c>
    </row>
    <row r="903" spans="1:7" ht="24">
      <c r="A903" s="35" t="s">
        <v>500</v>
      </c>
      <c r="B903" s="51" t="s">
        <v>1969</v>
      </c>
      <c r="C903" s="15" t="s">
        <v>1624</v>
      </c>
      <c r="D903" s="15" t="s">
        <v>714</v>
      </c>
      <c r="E903" s="15" t="s">
        <v>229</v>
      </c>
      <c r="F903" s="15" t="s">
        <v>575</v>
      </c>
      <c r="G903" s="18">
        <f>G904+G905+G906+G909+G910</f>
        <v>36312.7</v>
      </c>
    </row>
    <row r="904" spans="1:7" ht="24">
      <c r="A904" s="16" t="s">
        <v>382</v>
      </c>
      <c r="B904" s="51" t="s">
        <v>1969</v>
      </c>
      <c r="C904" s="15" t="s">
        <v>1624</v>
      </c>
      <c r="D904" s="15" t="s">
        <v>714</v>
      </c>
      <c r="E904" s="15" t="s">
        <v>229</v>
      </c>
      <c r="F904" s="15" t="s">
        <v>383</v>
      </c>
      <c r="G904" s="18">
        <f>26217.3+7917.6+1237.5</f>
        <v>35372.4</v>
      </c>
    </row>
    <row r="905" spans="1:7" ht="24">
      <c r="A905" s="16" t="s">
        <v>921</v>
      </c>
      <c r="B905" s="51" t="s">
        <v>1969</v>
      </c>
      <c r="C905" s="15" t="s">
        <v>1624</v>
      </c>
      <c r="D905" s="15" t="s">
        <v>714</v>
      </c>
      <c r="E905" s="15" t="s">
        <v>229</v>
      </c>
      <c r="F905" s="15" t="s">
        <v>385</v>
      </c>
      <c r="G905" s="18">
        <f>10-5-4.8</f>
        <v>0.20000000000000018</v>
      </c>
    </row>
    <row r="906" spans="1:7" ht="24">
      <c r="A906" s="35" t="s">
        <v>528</v>
      </c>
      <c r="B906" s="51" t="s">
        <v>1969</v>
      </c>
      <c r="C906" s="15" t="s">
        <v>1624</v>
      </c>
      <c r="D906" s="15" t="s">
        <v>714</v>
      </c>
      <c r="E906" s="15" t="s">
        <v>229</v>
      </c>
      <c r="F906" s="15" t="s">
        <v>1644</v>
      </c>
      <c r="G906" s="18">
        <f>G907+G908</f>
        <v>940.0999999999999</v>
      </c>
    </row>
    <row r="907" spans="1:7" ht="24">
      <c r="A907" s="35" t="s">
        <v>848</v>
      </c>
      <c r="B907" s="51" t="s">
        <v>1969</v>
      </c>
      <c r="C907" s="15" t="s">
        <v>1624</v>
      </c>
      <c r="D907" s="15" t="s">
        <v>714</v>
      </c>
      <c r="E907" s="15" t="s">
        <v>229</v>
      </c>
      <c r="F907" s="15" t="s">
        <v>846</v>
      </c>
      <c r="G907" s="18">
        <v>397</v>
      </c>
    </row>
    <row r="908" spans="1:7" ht="24">
      <c r="A908" s="35" t="s">
        <v>1535</v>
      </c>
      <c r="B908" s="51" t="s">
        <v>1969</v>
      </c>
      <c r="C908" s="15" t="s">
        <v>1624</v>
      </c>
      <c r="D908" s="15" t="s">
        <v>714</v>
      </c>
      <c r="E908" s="15" t="s">
        <v>229</v>
      </c>
      <c r="F908" s="15" t="s">
        <v>1536</v>
      </c>
      <c r="G908" s="18">
        <f>355.4+80+5+94.9+3+4.8</f>
        <v>543.0999999999999</v>
      </c>
    </row>
    <row r="909" spans="1:7" ht="24.75" hidden="1">
      <c r="A909" s="16" t="s">
        <v>138</v>
      </c>
      <c r="B909" s="51" t="s">
        <v>1969</v>
      </c>
      <c r="C909" s="15" t="s">
        <v>1624</v>
      </c>
      <c r="D909" s="15" t="s">
        <v>714</v>
      </c>
      <c r="E909" s="15" t="s">
        <v>229</v>
      </c>
      <c r="F909" s="15" t="s">
        <v>139</v>
      </c>
      <c r="G909" s="18">
        <v>0</v>
      </c>
    </row>
    <row r="910" spans="1:7" ht="24.75" hidden="1">
      <c r="A910" s="16" t="s">
        <v>1020</v>
      </c>
      <c r="B910" s="51" t="s">
        <v>1969</v>
      </c>
      <c r="C910" s="15" t="s">
        <v>1624</v>
      </c>
      <c r="D910" s="15" t="s">
        <v>714</v>
      </c>
      <c r="E910" s="15" t="s">
        <v>229</v>
      </c>
      <c r="F910" s="15" t="s">
        <v>1021</v>
      </c>
      <c r="G910" s="18">
        <f>4-1-3</f>
        <v>0</v>
      </c>
    </row>
    <row r="911" spans="1:7" ht="24">
      <c r="A911" s="16" t="s">
        <v>1665</v>
      </c>
      <c r="B911" s="51" t="s">
        <v>1969</v>
      </c>
      <c r="C911" s="15" t="s">
        <v>1624</v>
      </c>
      <c r="D911" s="15" t="s">
        <v>714</v>
      </c>
      <c r="E911" s="15" t="s">
        <v>1635</v>
      </c>
      <c r="F911" s="15" t="s">
        <v>575</v>
      </c>
      <c r="G911" s="18">
        <f>G912</f>
        <v>14092.400000000001</v>
      </c>
    </row>
    <row r="912" spans="1:7" ht="24">
      <c r="A912" s="16" t="s">
        <v>1665</v>
      </c>
      <c r="B912" s="51" t="s">
        <v>1969</v>
      </c>
      <c r="C912" s="15" t="s">
        <v>1624</v>
      </c>
      <c r="D912" s="15" t="s">
        <v>714</v>
      </c>
      <c r="E912" s="15" t="s">
        <v>1635</v>
      </c>
      <c r="F912" s="15" t="s">
        <v>1066</v>
      </c>
      <c r="G912" s="18">
        <f>13820.7+1+270.7</f>
        <v>14092.400000000001</v>
      </c>
    </row>
    <row r="913" spans="1:7" ht="24">
      <c r="A913" s="16" t="s">
        <v>2002</v>
      </c>
      <c r="B913" s="51" t="s">
        <v>1969</v>
      </c>
      <c r="C913" s="15" t="s">
        <v>1624</v>
      </c>
      <c r="D913" s="15" t="s">
        <v>714</v>
      </c>
      <c r="E913" s="15" t="s">
        <v>361</v>
      </c>
      <c r="F913" s="15" t="s">
        <v>575</v>
      </c>
      <c r="G913" s="18">
        <f>G914+G915+G919</f>
        <v>16500.8</v>
      </c>
    </row>
    <row r="914" spans="1:7" ht="24">
      <c r="A914" s="16" t="s">
        <v>382</v>
      </c>
      <c r="B914" s="51" t="s">
        <v>1969</v>
      </c>
      <c r="C914" s="15" t="s">
        <v>1624</v>
      </c>
      <c r="D914" s="15" t="s">
        <v>714</v>
      </c>
      <c r="E914" s="15" t="s">
        <v>361</v>
      </c>
      <c r="F914" s="15" t="s">
        <v>1067</v>
      </c>
      <c r="G914" s="18">
        <f>7278+370+112</f>
        <v>7760</v>
      </c>
    </row>
    <row r="915" spans="1:7" ht="24">
      <c r="A915" s="35" t="s">
        <v>528</v>
      </c>
      <c r="B915" s="51" t="s">
        <v>1969</v>
      </c>
      <c r="C915" s="15" t="s">
        <v>1624</v>
      </c>
      <c r="D915" s="15" t="s">
        <v>714</v>
      </c>
      <c r="E915" s="15" t="s">
        <v>361</v>
      </c>
      <c r="F915" s="15" t="s">
        <v>1644</v>
      </c>
      <c r="G915" s="18">
        <f>G916+G917+G918</f>
        <v>8729.8</v>
      </c>
    </row>
    <row r="916" spans="1:7" ht="24">
      <c r="A916" s="35" t="s">
        <v>848</v>
      </c>
      <c r="B916" s="51" t="s">
        <v>1969</v>
      </c>
      <c r="C916" s="15" t="s">
        <v>1624</v>
      </c>
      <c r="D916" s="15" t="s">
        <v>714</v>
      </c>
      <c r="E916" s="15" t="s">
        <v>361</v>
      </c>
      <c r="F916" s="15" t="s">
        <v>846</v>
      </c>
      <c r="G916" s="18">
        <v>298</v>
      </c>
    </row>
    <row r="917" spans="1:7" ht="24">
      <c r="A917" s="35" t="s">
        <v>95</v>
      </c>
      <c r="B917" s="51" t="s">
        <v>1969</v>
      </c>
      <c r="C917" s="15" t="s">
        <v>1624</v>
      </c>
      <c r="D917" s="15" t="s">
        <v>714</v>
      </c>
      <c r="E917" s="15" t="s">
        <v>361</v>
      </c>
      <c r="F917" s="15" t="s">
        <v>699</v>
      </c>
      <c r="G917" s="18">
        <f>3797.4+1000-270.7</f>
        <v>4526.7</v>
      </c>
    </row>
    <row r="918" spans="1:7" ht="24">
      <c r="A918" s="35" t="s">
        <v>1535</v>
      </c>
      <c r="B918" s="51" t="s">
        <v>1969</v>
      </c>
      <c r="C918" s="15" t="s">
        <v>1624</v>
      </c>
      <c r="D918" s="15" t="s">
        <v>714</v>
      </c>
      <c r="E918" s="15" t="s">
        <v>361</v>
      </c>
      <c r="F918" s="15" t="s">
        <v>1536</v>
      </c>
      <c r="G918" s="18">
        <v>3905.1</v>
      </c>
    </row>
    <row r="919" spans="1:7" ht="24">
      <c r="A919" s="16" t="s">
        <v>1020</v>
      </c>
      <c r="B919" s="51" t="s">
        <v>1969</v>
      </c>
      <c r="C919" s="15" t="s">
        <v>1624</v>
      </c>
      <c r="D919" s="15" t="s">
        <v>714</v>
      </c>
      <c r="E919" s="15" t="s">
        <v>361</v>
      </c>
      <c r="F919" s="15" t="s">
        <v>1021</v>
      </c>
      <c r="G919" s="18">
        <f>4+7</f>
        <v>11</v>
      </c>
    </row>
    <row r="920" spans="1:7" ht="18.75" customHeight="1" hidden="1">
      <c r="A920" s="16" t="s">
        <v>1665</v>
      </c>
      <c r="B920" s="51" t="s">
        <v>1969</v>
      </c>
      <c r="C920" s="15" t="s">
        <v>1624</v>
      </c>
      <c r="D920" s="15" t="s">
        <v>714</v>
      </c>
      <c r="E920" s="15" t="s">
        <v>1635</v>
      </c>
      <c r="F920" s="15" t="s">
        <v>575</v>
      </c>
      <c r="G920" s="18">
        <f>G921</f>
        <v>0</v>
      </c>
    </row>
    <row r="921" spans="1:7" ht="19.5" customHeight="1" hidden="1">
      <c r="A921" s="16" t="s">
        <v>1636</v>
      </c>
      <c r="B921" s="51" t="s">
        <v>1969</v>
      </c>
      <c r="C921" s="15" t="s">
        <v>1624</v>
      </c>
      <c r="D921" s="15" t="s">
        <v>714</v>
      </c>
      <c r="E921" s="15" t="s">
        <v>1635</v>
      </c>
      <c r="F921" s="15" t="s">
        <v>1063</v>
      </c>
      <c r="G921" s="18"/>
    </row>
    <row r="922" spans="1:7" ht="24">
      <c r="A922" s="30" t="s">
        <v>53</v>
      </c>
      <c r="B922" s="51" t="s">
        <v>1969</v>
      </c>
      <c r="C922" s="15" t="s">
        <v>1624</v>
      </c>
      <c r="D922" s="15" t="s">
        <v>714</v>
      </c>
      <c r="E922" s="15" t="s">
        <v>1545</v>
      </c>
      <c r="F922" s="15"/>
      <c r="G922" s="18">
        <f>G923+G926</f>
        <v>66026.2</v>
      </c>
    </row>
    <row r="923" spans="1:7" ht="24">
      <c r="A923" s="35" t="s">
        <v>719</v>
      </c>
      <c r="B923" s="51" t="s">
        <v>1969</v>
      </c>
      <c r="C923" s="15" t="s">
        <v>1624</v>
      </c>
      <c r="D923" s="15" t="s">
        <v>714</v>
      </c>
      <c r="E923" s="15" t="s">
        <v>1544</v>
      </c>
      <c r="F923" s="15" t="s">
        <v>575</v>
      </c>
      <c r="G923" s="18">
        <f>G924</f>
        <v>955.8999999999999</v>
      </c>
    </row>
    <row r="924" spans="1:7" ht="24">
      <c r="A924" s="35" t="s">
        <v>528</v>
      </c>
      <c r="B924" s="51" t="s">
        <v>1969</v>
      </c>
      <c r="C924" s="15" t="s">
        <v>1624</v>
      </c>
      <c r="D924" s="15" t="s">
        <v>714</v>
      </c>
      <c r="E924" s="15" t="s">
        <v>1544</v>
      </c>
      <c r="F924" s="15" t="s">
        <v>1644</v>
      </c>
      <c r="G924" s="18">
        <f>G925</f>
        <v>955.8999999999999</v>
      </c>
    </row>
    <row r="925" spans="1:7" ht="24">
      <c r="A925" s="35" t="s">
        <v>1535</v>
      </c>
      <c r="B925" s="51" t="s">
        <v>1969</v>
      </c>
      <c r="C925" s="15" t="s">
        <v>1624</v>
      </c>
      <c r="D925" s="15" t="s">
        <v>714</v>
      </c>
      <c r="E925" s="15" t="s">
        <v>1544</v>
      </c>
      <c r="F925" s="15" t="s">
        <v>1536</v>
      </c>
      <c r="G925" s="18">
        <f>1440.8-80-94.9-380.1+14.6+55.5</f>
        <v>955.8999999999999</v>
      </c>
    </row>
    <row r="926" spans="1:7" ht="24">
      <c r="A926" s="16" t="s">
        <v>643</v>
      </c>
      <c r="B926" s="51" t="s">
        <v>1969</v>
      </c>
      <c r="C926" s="15" t="s">
        <v>1624</v>
      </c>
      <c r="D926" s="15" t="s">
        <v>714</v>
      </c>
      <c r="E926" s="15" t="s">
        <v>362</v>
      </c>
      <c r="F926" s="15" t="s">
        <v>575</v>
      </c>
      <c r="G926" s="18">
        <f>G927+G930+G931+G932</f>
        <v>65070.3</v>
      </c>
    </row>
    <row r="927" spans="1:7" ht="24">
      <c r="A927" s="35" t="s">
        <v>847</v>
      </c>
      <c r="B927" s="51" t="s">
        <v>1969</v>
      </c>
      <c r="C927" s="15" t="s">
        <v>1624</v>
      </c>
      <c r="D927" s="15" t="s">
        <v>714</v>
      </c>
      <c r="E927" s="15" t="s">
        <v>362</v>
      </c>
      <c r="F927" s="15" t="s">
        <v>1644</v>
      </c>
      <c r="G927" s="18">
        <f>G928+G929</f>
        <v>931</v>
      </c>
    </row>
    <row r="928" spans="1:7" ht="24">
      <c r="A928" s="35" t="s">
        <v>848</v>
      </c>
      <c r="B928" s="51" t="s">
        <v>1969</v>
      </c>
      <c r="C928" s="15" t="s">
        <v>1624</v>
      </c>
      <c r="D928" s="15" t="s">
        <v>714</v>
      </c>
      <c r="E928" s="15" t="s">
        <v>362</v>
      </c>
      <c r="F928" s="15" t="s">
        <v>846</v>
      </c>
      <c r="G928" s="18">
        <v>931</v>
      </c>
    </row>
    <row r="929" spans="1:7" ht="24.75" hidden="1">
      <c r="A929" s="35" t="s">
        <v>95</v>
      </c>
      <c r="B929" s="51" t="s">
        <v>1969</v>
      </c>
      <c r="C929" s="15" t="s">
        <v>1624</v>
      </c>
      <c r="D929" s="15" t="s">
        <v>714</v>
      </c>
      <c r="E929" s="15" t="s">
        <v>362</v>
      </c>
      <c r="F929" s="15" t="s">
        <v>699</v>
      </c>
      <c r="G929" s="18"/>
    </row>
    <row r="930" spans="1:7" ht="24">
      <c r="A930" s="35" t="s">
        <v>1535</v>
      </c>
      <c r="B930" s="51" t="s">
        <v>1969</v>
      </c>
      <c r="C930" s="15" t="s">
        <v>1624</v>
      </c>
      <c r="D930" s="15" t="s">
        <v>714</v>
      </c>
      <c r="E930" s="15" t="s">
        <v>362</v>
      </c>
      <c r="F930" s="15" t="s">
        <v>1536</v>
      </c>
      <c r="G930" s="18">
        <f>3202.8+266.9+580.4+85.1+135+32+50+175+135</f>
        <v>4662.200000000001</v>
      </c>
    </row>
    <row r="931" spans="1:7" ht="48">
      <c r="A931" s="16" t="s">
        <v>326</v>
      </c>
      <c r="B931" s="51" t="s">
        <v>1969</v>
      </c>
      <c r="C931" s="15" t="s">
        <v>1624</v>
      </c>
      <c r="D931" s="15" t="s">
        <v>714</v>
      </c>
      <c r="E931" s="15" t="s">
        <v>362</v>
      </c>
      <c r="F931" s="15" t="s">
        <v>981</v>
      </c>
      <c r="G931" s="18">
        <f>836+548.9+320.3+3026.1-0.1+533.6+150+94.7+2800+115.1+168.5+2651+368+136.1+103.6+461+3000+0.1+259.9+69.3+240.5+173.3+398</f>
        <v>16453.9</v>
      </c>
    </row>
    <row r="932" spans="1:7" ht="24">
      <c r="A932" s="16" t="s">
        <v>1975</v>
      </c>
      <c r="B932" s="51" t="s">
        <v>1969</v>
      </c>
      <c r="C932" s="15" t="s">
        <v>1624</v>
      </c>
      <c r="D932" s="15" t="s">
        <v>714</v>
      </c>
      <c r="E932" s="15" t="s">
        <v>362</v>
      </c>
      <c r="F932" s="15" t="s">
        <v>1976</v>
      </c>
      <c r="G932" s="18">
        <f>G933+G937+G938+G936</f>
        <v>43023.2</v>
      </c>
    </row>
    <row r="933" spans="1:7" ht="36">
      <c r="A933" s="35" t="s">
        <v>490</v>
      </c>
      <c r="B933" s="51" t="s">
        <v>1969</v>
      </c>
      <c r="C933" s="15" t="s">
        <v>1624</v>
      </c>
      <c r="D933" s="15" t="s">
        <v>714</v>
      </c>
      <c r="E933" s="15" t="s">
        <v>362</v>
      </c>
      <c r="F933" s="15" t="s">
        <v>737</v>
      </c>
      <c r="G933" s="18">
        <f>G934+G935</f>
        <v>29232.3</v>
      </c>
    </row>
    <row r="934" spans="1:7" ht="48" customHeight="1">
      <c r="A934" s="35" t="s">
        <v>826</v>
      </c>
      <c r="B934" s="51" t="s">
        <v>1969</v>
      </c>
      <c r="C934" s="15" t="s">
        <v>1624</v>
      </c>
      <c r="D934" s="15" t="s">
        <v>714</v>
      </c>
      <c r="E934" s="15" t="s">
        <v>362</v>
      </c>
      <c r="F934" s="15" t="s">
        <v>737</v>
      </c>
      <c r="G934" s="18">
        <f>1938+214.3</f>
        <v>2152.3</v>
      </c>
    </row>
    <row r="935" spans="1:7" ht="45" customHeight="1">
      <c r="A935" s="35" t="s">
        <v>774</v>
      </c>
      <c r="B935" s="51" t="s">
        <v>1969</v>
      </c>
      <c r="C935" s="15" t="s">
        <v>1624</v>
      </c>
      <c r="D935" s="15" t="s">
        <v>714</v>
      </c>
      <c r="E935" s="15" t="s">
        <v>362</v>
      </c>
      <c r="F935" s="15" t="s">
        <v>737</v>
      </c>
      <c r="G935" s="18">
        <f>3081+553+3020+2000+1838+2242+565+4702.4+4624.1+4454.5</f>
        <v>27080</v>
      </c>
    </row>
    <row r="936" spans="1:7" ht="60">
      <c r="A936" s="35" t="s">
        <v>716</v>
      </c>
      <c r="B936" s="51" t="s">
        <v>1969</v>
      </c>
      <c r="C936" s="15" t="s">
        <v>1624</v>
      </c>
      <c r="D936" s="15" t="s">
        <v>714</v>
      </c>
      <c r="E936" s="15" t="s">
        <v>362</v>
      </c>
      <c r="F936" s="15" t="s">
        <v>1659</v>
      </c>
      <c r="G936" s="18">
        <v>3748.1</v>
      </c>
    </row>
    <row r="937" spans="1:7" ht="24">
      <c r="A937" s="16" t="s">
        <v>1020</v>
      </c>
      <c r="B937" s="51" t="s">
        <v>1969</v>
      </c>
      <c r="C937" s="15" t="s">
        <v>1624</v>
      </c>
      <c r="D937" s="15" t="s">
        <v>714</v>
      </c>
      <c r="E937" s="15" t="s">
        <v>362</v>
      </c>
      <c r="F937" s="15" t="s">
        <v>1021</v>
      </c>
      <c r="G937" s="18">
        <f>477+40</f>
        <v>517</v>
      </c>
    </row>
    <row r="938" spans="1:7" ht="24">
      <c r="A938" s="35" t="s">
        <v>1977</v>
      </c>
      <c r="B938" s="51" t="s">
        <v>1969</v>
      </c>
      <c r="C938" s="15" t="s">
        <v>1624</v>
      </c>
      <c r="D938" s="15" t="s">
        <v>714</v>
      </c>
      <c r="E938" s="15" t="s">
        <v>362</v>
      </c>
      <c r="F938" s="15" t="s">
        <v>1978</v>
      </c>
      <c r="G938" s="18">
        <f>8658-302.1+820+350-0.1</f>
        <v>9525.8</v>
      </c>
    </row>
    <row r="939" spans="1:7" ht="24">
      <c r="A939" s="31" t="s">
        <v>645</v>
      </c>
      <c r="B939" s="51" t="s">
        <v>1969</v>
      </c>
      <c r="C939" s="15" t="s">
        <v>1624</v>
      </c>
      <c r="D939" s="15" t="s">
        <v>714</v>
      </c>
      <c r="E939" s="15" t="s">
        <v>102</v>
      </c>
      <c r="F939" s="15"/>
      <c r="G939" s="18">
        <f>G940+G944</f>
        <v>48507.3</v>
      </c>
    </row>
    <row r="940" spans="1:7" ht="24">
      <c r="A940" s="35" t="s">
        <v>14</v>
      </c>
      <c r="B940" s="51" t="s">
        <v>1969</v>
      </c>
      <c r="C940" s="15" t="s">
        <v>1624</v>
      </c>
      <c r="D940" s="15" t="s">
        <v>714</v>
      </c>
      <c r="E940" s="15" t="s">
        <v>15</v>
      </c>
      <c r="F940" s="15" t="s">
        <v>575</v>
      </c>
      <c r="G940" s="18">
        <f>G941+G943</f>
        <v>48507.3</v>
      </c>
    </row>
    <row r="941" spans="1:7" ht="51.75" customHeight="1">
      <c r="A941" s="16" t="s">
        <v>327</v>
      </c>
      <c r="B941" s="51" t="s">
        <v>1969</v>
      </c>
      <c r="C941" s="15" t="s">
        <v>1624</v>
      </c>
      <c r="D941" s="15" t="s">
        <v>714</v>
      </c>
      <c r="E941" s="15" t="s">
        <v>15</v>
      </c>
      <c r="F941" s="15" t="s">
        <v>981</v>
      </c>
      <c r="G941" s="18">
        <f>38949.9+9557.4</f>
        <v>48507.3</v>
      </c>
    </row>
    <row r="942" spans="1:7" ht="24.75" hidden="1">
      <c r="A942" s="16" t="s">
        <v>529</v>
      </c>
      <c r="B942" s="51"/>
      <c r="C942" s="15" t="s">
        <v>1624</v>
      </c>
      <c r="D942" s="15" t="s">
        <v>714</v>
      </c>
      <c r="E942" s="15" t="s">
        <v>15</v>
      </c>
      <c r="F942" s="15" t="s">
        <v>530</v>
      </c>
      <c r="G942" s="18">
        <v>0</v>
      </c>
    </row>
    <row r="943" spans="1:7" ht="51.75" customHeight="1" hidden="1">
      <c r="A943" s="16" t="s">
        <v>419</v>
      </c>
      <c r="B943" s="51" t="s">
        <v>1969</v>
      </c>
      <c r="C943" s="15" t="s">
        <v>1624</v>
      </c>
      <c r="D943" s="15" t="s">
        <v>714</v>
      </c>
      <c r="E943" s="15" t="s">
        <v>15</v>
      </c>
      <c r="F943" s="15" t="s">
        <v>530</v>
      </c>
      <c r="G943" s="18">
        <f>18990+5000-23990</f>
        <v>0</v>
      </c>
    </row>
    <row r="944" spans="1:7" ht="51" customHeight="1" hidden="1">
      <c r="A944" s="16" t="s">
        <v>420</v>
      </c>
      <c r="B944" s="51" t="s">
        <v>1969</v>
      </c>
      <c r="C944" s="15" t="s">
        <v>1624</v>
      </c>
      <c r="D944" s="15" t="s">
        <v>714</v>
      </c>
      <c r="E944" s="15" t="s">
        <v>590</v>
      </c>
      <c r="F944" s="15" t="s">
        <v>530</v>
      </c>
      <c r="G944" s="18">
        <f>60870.2-60870.2</f>
        <v>0</v>
      </c>
    </row>
    <row r="945" spans="1:7" ht="18.75" customHeight="1">
      <c r="A945" s="31" t="s">
        <v>32</v>
      </c>
      <c r="B945" s="51" t="s">
        <v>1969</v>
      </c>
      <c r="C945" s="15" t="s">
        <v>1624</v>
      </c>
      <c r="D945" s="15" t="s">
        <v>714</v>
      </c>
      <c r="E945" s="15" t="s">
        <v>33</v>
      </c>
      <c r="F945" s="15"/>
      <c r="G945" s="18">
        <f>G946</f>
        <v>1015</v>
      </c>
    </row>
    <row r="946" spans="1:7" ht="39" customHeight="1">
      <c r="A946" s="16" t="s">
        <v>986</v>
      </c>
      <c r="B946" s="51" t="s">
        <v>1969</v>
      </c>
      <c r="C946" s="15" t="s">
        <v>1624</v>
      </c>
      <c r="D946" s="15" t="s">
        <v>714</v>
      </c>
      <c r="E946" s="15" t="s">
        <v>987</v>
      </c>
      <c r="F946" s="15"/>
      <c r="G946" s="18">
        <f>G947</f>
        <v>1015</v>
      </c>
    </row>
    <row r="947" spans="1:7" ht="22.5" customHeight="1">
      <c r="A947" s="155" t="s">
        <v>847</v>
      </c>
      <c r="B947" s="51" t="s">
        <v>1969</v>
      </c>
      <c r="C947" s="15" t="s">
        <v>1624</v>
      </c>
      <c r="D947" s="15" t="s">
        <v>714</v>
      </c>
      <c r="E947" s="15" t="s">
        <v>987</v>
      </c>
      <c r="F947" s="15" t="s">
        <v>1644</v>
      </c>
      <c r="G947" s="18">
        <f>G948</f>
        <v>1015</v>
      </c>
    </row>
    <row r="948" spans="1:7" ht="33" customHeight="1">
      <c r="A948" s="155" t="s">
        <v>848</v>
      </c>
      <c r="B948" s="51" t="s">
        <v>1969</v>
      </c>
      <c r="C948" s="15" t="s">
        <v>1624</v>
      </c>
      <c r="D948" s="15" t="s">
        <v>714</v>
      </c>
      <c r="E948" s="15" t="s">
        <v>987</v>
      </c>
      <c r="F948" s="15" t="s">
        <v>846</v>
      </c>
      <c r="G948" s="77">
        <v>1015</v>
      </c>
    </row>
    <row r="949" spans="1:7" ht="19.5" customHeight="1" hidden="1">
      <c r="A949" s="31" t="s">
        <v>1664</v>
      </c>
      <c r="B949" s="51" t="s">
        <v>1969</v>
      </c>
      <c r="C949" s="15" t="s">
        <v>1624</v>
      </c>
      <c r="D949" s="15" t="s">
        <v>714</v>
      </c>
      <c r="E949" s="15" t="s">
        <v>1663</v>
      </c>
      <c r="F949" s="15"/>
      <c r="G949" s="18">
        <f>G950</f>
        <v>0</v>
      </c>
    </row>
    <row r="950" spans="1:7" ht="51" customHeight="1" hidden="1">
      <c r="A950" s="193" t="s">
        <v>26</v>
      </c>
      <c r="B950" s="51" t="s">
        <v>1969</v>
      </c>
      <c r="C950" s="15" t="s">
        <v>1624</v>
      </c>
      <c r="D950" s="15" t="s">
        <v>714</v>
      </c>
      <c r="E950" s="15" t="s">
        <v>27</v>
      </c>
      <c r="F950" s="15" t="s">
        <v>575</v>
      </c>
      <c r="G950" s="18">
        <f>G951</f>
        <v>0</v>
      </c>
    </row>
    <row r="951" spans="1:7" ht="26.25" customHeight="1" hidden="1">
      <c r="A951" s="16" t="s">
        <v>1019</v>
      </c>
      <c r="B951" s="51" t="s">
        <v>1969</v>
      </c>
      <c r="C951" s="15" t="s">
        <v>1624</v>
      </c>
      <c r="D951" s="15" t="s">
        <v>714</v>
      </c>
      <c r="E951" s="15" t="s">
        <v>27</v>
      </c>
      <c r="F951" s="15" t="s">
        <v>1644</v>
      </c>
      <c r="G951" s="18">
        <f>2342.4-2342.4</f>
        <v>0</v>
      </c>
    </row>
    <row r="952" spans="1:7" ht="15">
      <c r="A952" s="54" t="s">
        <v>781</v>
      </c>
      <c r="B952" s="51" t="s">
        <v>1969</v>
      </c>
      <c r="C952" s="15" t="s">
        <v>923</v>
      </c>
      <c r="D952" s="15"/>
      <c r="E952" s="15"/>
      <c r="F952" s="15"/>
      <c r="G952" s="18">
        <f>G953</f>
        <v>120</v>
      </c>
    </row>
    <row r="953" spans="1:7" ht="15">
      <c r="A953" s="29" t="s">
        <v>363</v>
      </c>
      <c r="B953" s="51" t="s">
        <v>1969</v>
      </c>
      <c r="C953" s="15" t="s">
        <v>923</v>
      </c>
      <c r="D953" s="15" t="s">
        <v>439</v>
      </c>
      <c r="E953" s="15"/>
      <c r="F953" s="15"/>
      <c r="G953" s="18">
        <f>G954</f>
        <v>120</v>
      </c>
    </row>
    <row r="954" spans="1:7" ht="24">
      <c r="A954" s="30" t="s">
        <v>782</v>
      </c>
      <c r="B954" s="51" t="s">
        <v>1969</v>
      </c>
      <c r="C954" s="15" t="s">
        <v>923</v>
      </c>
      <c r="D954" s="15" t="s">
        <v>439</v>
      </c>
      <c r="E954" s="15" t="s">
        <v>783</v>
      </c>
      <c r="F954" s="15"/>
      <c r="G954" s="18">
        <f>G955</f>
        <v>120</v>
      </c>
    </row>
    <row r="955" spans="1:7" ht="24">
      <c r="A955" s="16" t="s">
        <v>1371</v>
      </c>
      <c r="B955" s="51" t="s">
        <v>1969</v>
      </c>
      <c r="C955" s="15" t="s">
        <v>923</v>
      </c>
      <c r="D955" s="15" t="s">
        <v>439</v>
      </c>
      <c r="E955" s="15" t="s">
        <v>364</v>
      </c>
      <c r="F955" s="15" t="s">
        <v>575</v>
      </c>
      <c r="G955" s="18">
        <f>G956</f>
        <v>120</v>
      </c>
    </row>
    <row r="956" spans="1:7" ht="24">
      <c r="A956" s="35" t="s">
        <v>528</v>
      </c>
      <c r="B956" s="51" t="s">
        <v>1969</v>
      </c>
      <c r="C956" s="15" t="s">
        <v>923</v>
      </c>
      <c r="D956" s="15" t="s">
        <v>439</v>
      </c>
      <c r="E956" s="15" t="s">
        <v>364</v>
      </c>
      <c r="F956" s="15" t="s">
        <v>1644</v>
      </c>
      <c r="G956" s="18">
        <f>G957</f>
        <v>120</v>
      </c>
    </row>
    <row r="957" spans="1:7" ht="24">
      <c r="A957" s="35" t="s">
        <v>1535</v>
      </c>
      <c r="B957" s="51" t="s">
        <v>1969</v>
      </c>
      <c r="C957" s="15" t="s">
        <v>923</v>
      </c>
      <c r="D957" s="15" t="s">
        <v>439</v>
      </c>
      <c r="E957" s="15" t="s">
        <v>364</v>
      </c>
      <c r="F957" s="15" t="s">
        <v>1536</v>
      </c>
      <c r="G957" s="18">
        <v>120</v>
      </c>
    </row>
    <row r="958" spans="1:7" ht="25.5">
      <c r="A958" s="54" t="s">
        <v>1642</v>
      </c>
      <c r="B958" s="51" t="s">
        <v>1969</v>
      </c>
      <c r="C958" s="24" t="s">
        <v>1653</v>
      </c>
      <c r="D958" s="24"/>
      <c r="E958" s="24"/>
      <c r="F958" s="24"/>
      <c r="G958" s="18">
        <f>G959+G962+G977+G987+G991</f>
        <v>17634.699999999997</v>
      </c>
    </row>
    <row r="959" spans="1:7" ht="18.75" customHeight="1" hidden="1">
      <c r="A959" s="29" t="s">
        <v>1649</v>
      </c>
      <c r="B959" s="51" t="s">
        <v>581</v>
      </c>
      <c r="C959" s="15" t="s">
        <v>1653</v>
      </c>
      <c r="D959" s="15" t="s">
        <v>923</v>
      </c>
      <c r="E959" s="15"/>
      <c r="F959" s="15"/>
      <c r="G959" s="18">
        <f>G961</f>
        <v>0</v>
      </c>
    </row>
    <row r="960" spans="1:7" ht="13.5" customHeight="1" hidden="1">
      <c r="A960" s="30" t="s">
        <v>775</v>
      </c>
      <c r="B960" s="51" t="s">
        <v>956</v>
      </c>
      <c r="C960" s="15" t="s">
        <v>1653</v>
      </c>
      <c r="D960" s="15" t="s">
        <v>923</v>
      </c>
      <c r="E960" s="15" t="s">
        <v>776</v>
      </c>
      <c r="F960" s="15"/>
      <c r="G960" s="18">
        <f>SUM(G961)</f>
        <v>0</v>
      </c>
    </row>
    <row r="961" spans="1:7" ht="17.25" customHeight="1" hidden="1">
      <c r="A961" s="16" t="s">
        <v>1643</v>
      </c>
      <c r="B961" s="51" t="s">
        <v>3</v>
      </c>
      <c r="C961" s="15" t="s">
        <v>1653</v>
      </c>
      <c r="D961" s="15" t="s">
        <v>923</v>
      </c>
      <c r="E961" s="15" t="s">
        <v>776</v>
      </c>
      <c r="F961" s="15" t="s">
        <v>1644</v>
      </c>
      <c r="G961" s="18"/>
    </row>
    <row r="962" spans="1:7" ht="22.5" customHeight="1" hidden="1">
      <c r="A962" s="29" t="s">
        <v>1649</v>
      </c>
      <c r="B962" s="51" t="s">
        <v>1969</v>
      </c>
      <c r="C962" s="15" t="s">
        <v>1653</v>
      </c>
      <c r="D962" s="15" t="s">
        <v>923</v>
      </c>
      <c r="E962" s="15"/>
      <c r="F962" s="15"/>
      <c r="G962" s="18">
        <f>G963</f>
        <v>0</v>
      </c>
    </row>
    <row r="963" spans="1:7" ht="18.75" customHeight="1" hidden="1">
      <c r="A963" s="30" t="s">
        <v>775</v>
      </c>
      <c r="B963" s="51" t="s">
        <v>1969</v>
      </c>
      <c r="C963" s="15" t="s">
        <v>1653</v>
      </c>
      <c r="D963" s="15" t="s">
        <v>923</v>
      </c>
      <c r="E963" s="15" t="s">
        <v>776</v>
      </c>
      <c r="F963" s="15"/>
      <c r="G963" s="18">
        <f>G964+G966+G969+G973+G974</f>
        <v>0</v>
      </c>
    </row>
    <row r="964" spans="1:7" ht="21" customHeight="1" hidden="1">
      <c r="A964" s="16" t="s">
        <v>543</v>
      </c>
      <c r="B964" s="51" t="s">
        <v>1969</v>
      </c>
      <c r="C964" s="15" t="s">
        <v>1653</v>
      </c>
      <c r="D964" s="15" t="s">
        <v>923</v>
      </c>
      <c r="E964" s="15" t="s">
        <v>544</v>
      </c>
      <c r="F964" s="15" t="s">
        <v>575</v>
      </c>
      <c r="G964" s="18">
        <f>G965</f>
        <v>0</v>
      </c>
    </row>
    <row r="965" spans="1:7" ht="22.5" customHeight="1" hidden="1">
      <c r="A965" s="35" t="s">
        <v>1182</v>
      </c>
      <c r="B965" s="51" t="s">
        <v>1969</v>
      </c>
      <c r="C965" s="15" t="s">
        <v>1653</v>
      </c>
      <c r="D965" s="15" t="s">
        <v>923</v>
      </c>
      <c r="E965" s="15" t="s">
        <v>544</v>
      </c>
      <c r="F965" s="15" t="s">
        <v>106</v>
      </c>
      <c r="G965" s="18"/>
    </row>
    <row r="966" spans="1:7" ht="17.25" customHeight="1" hidden="1">
      <c r="A966" s="35" t="s">
        <v>1180</v>
      </c>
      <c r="B966" s="51" t="s">
        <v>1969</v>
      </c>
      <c r="C966" s="15" t="s">
        <v>1653</v>
      </c>
      <c r="D966" s="15" t="s">
        <v>923</v>
      </c>
      <c r="E966" s="15" t="s">
        <v>1181</v>
      </c>
      <c r="F966" s="15" t="s">
        <v>575</v>
      </c>
      <c r="G966" s="18">
        <f>G967+G968</f>
        <v>0</v>
      </c>
    </row>
    <row r="967" spans="1:7" ht="22.5" customHeight="1" hidden="1">
      <c r="A967" s="35" t="s">
        <v>1182</v>
      </c>
      <c r="B967" s="51" t="s">
        <v>1969</v>
      </c>
      <c r="C967" s="15" t="s">
        <v>1653</v>
      </c>
      <c r="D967" s="15" t="s">
        <v>923</v>
      </c>
      <c r="E967" s="15" t="s">
        <v>1181</v>
      </c>
      <c r="F967" s="15" t="s">
        <v>106</v>
      </c>
      <c r="G967" s="18"/>
    </row>
    <row r="968" spans="1:7" ht="22.5" customHeight="1" hidden="1">
      <c r="A968" s="35" t="s">
        <v>996</v>
      </c>
      <c r="B968" s="51" t="s">
        <v>1969</v>
      </c>
      <c r="C968" s="15" t="s">
        <v>1653</v>
      </c>
      <c r="D968" s="15" t="s">
        <v>923</v>
      </c>
      <c r="E968" s="15" t="s">
        <v>1889</v>
      </c>
      <c r="F968" s="15" t="s">
        <v>106</v>
      </c>
      <c r="G968" s="18">
        <v>0</v>
      </c>
    </row>
    <row r="969" spans="1:7" ht="24" customHeight="1" hidden="1">
      <c r="A969" s="35" t="s">
        <v>1890</v>
      </c>
      <c r="B969" s="51" t="s">
        <v>1969</v>
      </c>
      <c r="C969" s="15" t="s">
        <v>1653</v>
      </c>
      <c r="D969" s="15" t="s">
        <v>923</v>
      </c>
      <c r="E969" s="15" t="s">
        <v>1183</v>
      </c>
      <c r="F969" s="15"/>
      <c r="G969" s="18">
        <f>G970+G971</f>
        <v>0</v>
      </c>
    </row>
    <row r="970" spans="1:7" ht="33" customHeight="1" hidden="1">
      <c r="A970" s="35" t="s">
        <v>1182</v>
      </c>
      <c r="B970" s="51" t="s">
        <v>1969</v>
      </c>
      <c r="C970" s="15" t="s">
        <v>1653</v>
      </c>
      <c r="D970" s="15" t="s">
        <v>923</v>
      </c>
      <c r="E970" s="15" t="s">
        <v>1183</v>
      </c>
      <c r="F970" s="15" t="s">
        <v>106</v>
      </c>
      <c r="G970" s="18"/>
    </row>
    <row r="971" spans="1:7" ht="18.75" customHeight="1" hidden="1">
      <c r="A971" s="35" t="s">
        <v>996</v>
      </c>
      <c r="B971" s="51" t="s">
        <v>1969</v>
      </c>
      <c r="C971" s="15" t="s">
        <v>1653</v>
      </c>
      <c r="D971" s="15" t="s">
        <v>923</v>
      </c>
      <c r="E971" s="15" t="s">
        <v>1527</v>
      </c>
      <c r="F971" s="15" t="s">
        <v>106</v>
      </c>
      <c r="G971" s="18">
        <v>0</v>
      </c>
    </row>
    <row r="972" spans="1:7" ht="15.75" customHeight="1" hidden="1">
      <c r="A972" s="35" t="s">
        <v>103</v>
      </c>
      <c r="B972" s="51" t="s">
        <v>1969</v>
      </c>
      <c r="C972" s="15" t="s">
        <v>1653</v>
      </c>
      <c r="D972" s="15" t="s">
        <v>923</v>
      </c>
      <c r="E972" s="15" t="s">
        <v>1959</v>
      </c>
      <c r="F972" s="15"/>
      <c r="G972" s="18">
        <f>G973</f>
        <v>0</v>
      </c>
    </row>
    <row r="973" spans="1:7" ht="32.25" customHeight="1" hidden="1">
      <c r="A973" s="35" t="s">
        <v>1182</v>
      </c>
      <c r="B973" s="51" t="s">
        <v>1969</v>
      </c>
      <c r="C973" s="15" t="s">
        <v>1653</v>
      </c>
      <c r="D973" s="15" t="s">
        <v>923</v>
      </c>
      <c r="E973" s="15" t="s">
        <v>1959</v>
      </c>
      <c r="F973" s="15" t="s">
        <v>106</v>
      </c>
      <c r="G973" s="18"/>
    </row>
    <row r="974" spans="1:7" ht="32.25" customHeight="1" hidden="1">
      <c r="A974" s="16" t="s">
        <v>50</v>
      </c>
      <c r="B974" s="51" t="s">
        <v>1969</v>
      </c>
      <c r="C974" s="15" t="s">
        <v>1653</v>
      </c>
      <c r="D974" s="15" t="s">
        <v>923</v>
      </c>
      <c r="E974" s="15" t="s">
        <v>1184</v>
      </c>
      <c r="F974" s="15"/>
      <c r="G974" s="18">
        <f>G976</f>
        <v>0</v>
      </c>
    </row>
    <row r="975" spans="1:7" ht="15.75" customHeight="1" hidden="1">
      <c r="A975" s="35" t="s">
        <v>996</v>
      </c>
      <c r="B975" s="51" t="s">
        <v>1969</v>
      </c>
      <c r="C975" s="15" t="s">
        <v>1653</v>
      </c>
      <c r="D975" s="15" t="s">
        <v>923</v>
      </c>
      <c r="E975" s="15" t="s">
        <v>1184</v>
      </c>
      <c r="F975" s="15" t="s">
        <v>575</v>
      </c>
      <c r="G975" s="18">
        <f>G976</f>
        <v>0</v>
      </c>
    </row>
    <row r="976" spans="1:7" ht="21" customHeight="1" hidden="1">
      <c r="A976" s="16" t="s">
        <v>997</v>
      </c>
      <c r="B976" s="51" t="s">
        <v>1969</v>
      </c>
      <c r="C976" s="15" t="s">
        <v>1653</v>
      </c>
      <c r="D976" s="15" t="s">
        <v>923</v>
      </c>
      <c r="E976" s="15" t="s">
        <v>1184</v>
      </c>
      <c r="F976" s="15" t="s">
        <v>105</v>
      </c>
      <c r="G976" s="18"/>
    </row>
    <row r="977" spans="1:7" ht="36">
      <c r="A977" s="29" t="s">
        <v>1506</v>
      </c>
      <c r="B977" s="51" t="s">
        <v>1969</v>
      </c>
      <c r="C977" s="24" t="s">
        <v>1653</v>
      </c>
      <c r="D977" s="15" t="s">
        <v>1652</v>
      </c>
      <c r="E977" s="15"/>
      <c r="F977" s="15"/>
      <c r="G977" s="18">
        <f>G978+G982</f>
        <v>7476.9</v>
      </c>
    </row>
    <row r="978" spans="1:7" ht="24" hidden="1">
      <c r="A978" s="30" t="s">
        <v>183</v>
      </c>
      <c r="B978" s="51" t="s">
        <v>1969</v>
      </c>
      <c r="C978" s="15" t="s">
        <v>1653</v>
      </c>
      <c r="D978" s="15" t="s">
        <v>1652</v>
      </c>
      <c r="E978" s="15" t="s">
        <v>184</v>
      </c>
      <c r="F978" s="15"/>
      <c r="G978" s="18">
        <f>G979</f>
        <v>0</v>
      </c>
    </row>
    <row r="979" spans="1:7" ht="24.75" hidden="1">
      <c r="A979" s="16" t="s">
        <v>713</v>
      </c>
      <c r="B979" s="51" t="s">
        <v>1969</v>
      </c>
      <c r="C979" s="15" t="s">
        <v>1653</v>
      </c>
      <c r="D979" s="15" t="s">
        <v>1652</v>
      </c>
      <c r="E979" s="15" t="s">
        <v>468</v>
      </c>
      <c r="F979" s="15" t="s">
        <v>575</v>
      </c>
      <c r="G979" s="18">
        <f>G980</f>
        <v>0</v>
      </c>
    </row>
    <row r="980" spans="1:7" ht="24.75" hidden="1">
      <c r="A980" s="16" t="s">
        <v>1019</v>
      </c>
      <c r="B980" s="51" t="s">
        <v>1969</v>
      </c>
      <c r="C980" s="15" t="s">
        <v>1653</v>
      </c>
      <c r="D980" s="15" t="s">
        <v>1652</v>
      </c>
      <c r="E980" s="15" t="s">
        <v>468</v>
      </c>
      <c r="F980" s="15" t="s">
        <v>1644</v>
      </c>
      <c r="G980" s="18">
        <f>G981</f>
        <v>0</v>
      </c>
    </row>
    <row r="981" spans="1:7" ht="24.75" hidden="1">
      <c r="A981" s="35" t="s">
        <v>1535</v>
      </c>
      <c r="B981" s="51" t="s">
        <v>1969</v>
      </c>
      <c r="C981" s="15" t="s">
        <v>1653</v>
      </c>
      <c r="D981" s="15" t="s">
        <v>1652</v>
      </c>
      <c r="E981" s="15" t="s">
        <v>468</v>
      </c>
      <c r="F981" s="15" t="s">
        <v>1536</v>
      </c>
      <c r="G981" s="18">
        <f>200-200</f>
        <v>0</v>
      </c>
    </row>
    <row r="982" spans="1:7" ht="15">
      <c r="A982" s="30" t="s">
        <v>438</v>
      </c>
      <c r="B982" s="51" t="s">
        <v>1969</v>
      </c>
      <c r="C982" s="24" t="s">
        <v>1653</v>
      </c>
      <c r="D982" s="15" t="s">
        <v>1652</v>
      </c>
      <c r="E982" s="15" t="s">
        <v>1645</v>
      </c>
      <c r="F982" s="15"/>
      <c r="G982" s="18">
        <f>G983</f>
        <v>7476.9</v>
      </c>
    </row>
    <row r="983" spans="1:7" ht="24">
      <c r="A983" s="16" t="s">
        <v>487</v>
      </c>
      <c r="B983" s="51" t="s">
        <v>1969</v>
      </c>
      <c r="C983" s="24" t="s">
        <v>1653</v>
      </c>
      <c r="D983" s="15" t="s">
        <v>1652</v>
      </c>
      <c r="E983" s="15" t="s">
        <v>469</v>
      </c>
      <c r="F983" s="15" t="s">
        <v>575</v>
      </c>
      <c r="G983" s="18">
        <f>G984+G986</f>
        <v>7476.9</v>
      </c>
    </row>
    <row r="984" spans="1:7" ht="24">
      <c r="A984" s="35" t="s">
        <v>528</v>
      </c>
      <c r="B984" s="51" t="s">
        <v>1969</v>
      </c>
      <c r="C984" s="24" t="s">
        <v>1653</v>
      </c>
      <c r="D984" s="15" t="s">
        <v>1652</v>
      </c>
      <c r="E984" s="15" t="s">
        <v>469</v>
      </c>
      <c r="F984" s="15" t="s">
        <v>1644</v>
      </c>
      <c r="G984" s="18">
        <f>G985</f>
        <v>7081.9</v>
      </c>
    </row>
    <row r="985" spans="1:7" ht="24">
      <c r="A985" s="35" t="s">
        <v>1535</v>
      </c>
      <c r="B985" s="51" t="s">
        <v>1969</v>
      </c>
      <c r="C985" s="24" t="s">
        <v>1653</v>
      </c>
      <c r="D985" s="15" t="s">
        <v>1652</v>
      </c>
      <c r="E985" s="15" t="s">
        <v>469</v>
      </c>
      <c r="F985" s="15" t="s">
        <v>1536</v>
      </c>
      <c r="G985" s="18">
        <f>6884.7+197.2</f>
        <v>7081.9</v>
      </c>
    </row>
    <row r="986" spans="1:7" ht="24">
      <c r="A986" s="35" t="s">
        <v>1977</v>
      </c>
      <c r="B986" s="51" t="s">
        <v>1969</v>
      </c>
      <c r="C986" s="24" t="s">
        <v>1653</v>
      </c>
      <c r="D986" s="15" t="s">
        <v>1652</v>
      </c>
      <c r="E986" s="15" t="s">
        <v>469</v>
      </c>
      <c r="F986" s="15" t="s">
        <v>1978</v>
      </c>
      <c r="G986" s="18">
        <f>1000-550-55</f>
        <v>395</v>
      </c>
    </row>
    <row r="987" spans="1:7" ht="21" customHeight="1" hidden="1">
      <c r="A987" s="29" t="s">
        <v>470</v>
      </c>
      <c r="B987" s="51" t="s">
        <v>1969</v>
      </c>
      <c r="C987" s="15" t="s">
        <v>1653</v>
      </c>
      <c r="D987" s="15" t="s">
        <v>1650</v>
      </c>
      <c r="E987" s="15"/>
      <c r="F987" s="15"/>
      <c r="G987" s="18">
        <f>G988</f>
        <v>0</v>
      </c>
    </row>
    <row r="988" spans="1:7" ht="30" customHeight="1" hidden="1">
      <c r="A988" s="30" t="s">
        <v>429</v>
      </c>
      <c r="B988" s="51" t="s">
        <v>1969</v>
      </c>
      <c r="C988" s="15" t="s">
        <v>1653</v>
      </c>
      <c r="D988" s="15" t="s">
        <v>1650</v>
      </c>
      <c r="E988" s="15" t="s">
        <v>1531</v>
      </c>
      <c r="F988" s="15"/>
      <c r="G988" s="18">
        <f>G989</f>
        <v>0</v>
      </c>
    </row>
    <row r="989" spans="1:7" ht="24" customHeight="1" hidden="1">
      <c r="A989" s="16" t="s">
        <v>2002</v>
      </c>
      <c r="B989" s="51" t="s">
        <v>1969</v>
      </c>
      <c r="C989" s="15" t="s">
        <v>1653</v>
      </c>
      <c r="D989" s="15" t="s">
        <v>1650</v>
      </c>
      <c r="E989" s="15" t="s">
        <v>430</v>
      </c>
      <c r="F989" s="15" t="s">
        <v>575</v>
      </c>
      <c r="G989" s="18"/>
    </row>
    <row r="990" spans="1:7" ht="25.5" customHeight="1" hidden="1">
      <c r="A990" s="16" t="s">
        <v>359</v>
      </c>
      <c r="B990" s="51" t="s">
        <v>1969</v>
      </c>
      <c r="C990" s="15" t="s">
        <v>1653</v>
      </c>
      <c r="D990" s="15" t="s">
        <v>1650</v>
      </c>
      <c r="E990" s="15" t="s">
        <v>430</v>
      </c>
      <c r="F990" s="15" t="s">
        <v>360</v>
      </c>
      <c r="G990" s="18"/>
    </row>
    <row r="991" spans="1:7" ht="24">
      <c r="A991" s="75" t="s">
        <v>96</v>
      </c>
      <c r="B991" s="51" t="s">
        <v>1969</v>
      </c>
      <c r="C991" s="15" t="s">
        <v>1653</v>
      </c>
      <c r="D991" s="15" t="s">
        <v>1143</v>
      </c>
      <c r="E991" s="145"/>
      <c r="F991" s="15"/>
      <c r="G991" s="18">
        <f>G992+G995</f>
        <v>10157.8</v>
      </c>
    </row>
    <row r="992" spans="1:7" ht="24">
      <c r="A992" s="30" t="s">
        <v>429</v>
      </c>
      <c r="B992" s="51" t="s">
        <v>1969</v>
      </c>
      <c r="C992" s="15" t="s">
        <v>1653</v>
      </c>
      <c r="D992" s="15" t="s">
        <v>1143</v>
      </c>
      <c r="E992" s="15" t="s">
        <v>1531</v>
      </c>
      <c r="F992" s="15"/>
      <c r="G992" s="18">
        <f>G993</f>
        <v>237.8</v>
      </c>
    </row>
    <row r="993" spans="1:7" ht="24">
      <c r="A993" s="35" t="s">
        <v>528</v>
      </c>
      <c r="B993" s="51" t="s">
        <v>1969</v>
      </c>
      <c r="C993" s="15" t="s">
        <v>1653</v>
      </c>
      <c r="D993" s="15" t="s">
        <v>1143</v>
      </c>
      <c r="E993" s="15" t="s">
        <v>1531</v>
      </c>
      <c r="F993" s="15" t="s">
        <v>1644</v>
      </c>
      <c r="G993" s="18">
        <f>G994</f>
        <v>237.8</v>
      </c>
    </row>
    <row r="994" spans="1:7" ht="24">
      <c r="A994" s="35" t="s">
        <v>1535</v>
      </c>
      <c r="B994" s="51" t="s">
        <v>1969</v>
      </c>
      <c r="C994" s="15" t="s">
        <v>1653</v>
      </c>
      <c r="D994" s="15" t="s">
        <v>1143</v>
      </c>
      <c r="E994" s="15" t="s">
        <v>1531</v>
      </c>
      <c r="F994" s="15" t="s">
        <v>1536</v>
      </c>
      <c r="G994" s="18">
        <f>560-400-142.2+200+20</f>
        <v>237.8</v>
      </c>
    </row>
    <row r="995" spans="1:7" ht="15">
      <c r="A995" s="31" t="s">
        <v>1664</v>
      </c>
      <c r="B995" s="51" t="s">
        <v>1969</v>
      </c>
      <c r="C995" s="15" t="s">
        <v>1653</v>
      </c>
      <c r="D995" s="15" t="s">
        <v>1143</v>
      </c>
      <c r="E995" s="15" t="s">
        <v>1663</v>
      </c>
      <c r="F995" s="15"/>
      <c r="G995" s="18">
        <f>G996</f>
        <v>9920</v>
      </c>
    </row>
    <row r="996" spans="1:7" ht="36">
      <c r="A996" s="118" t="s">
        <v>720</v>
      </c>
      <c r="B996" s="51" t="s">
        <v>1969</v>
      </c>
      <c r="C996" s="15" t="s">
        <v>1653</v>
      </c>
      <c r="D996" s="15" t="s">
        <v>1143</v>
      </c>
      <c r="E996" s="15" t="s">
        <v>853</v>
      </c>
      <c r="F996" s="15" t="s">
        <v>575</v>
      </c>
      <c r="G996" s="18">
        <f>G997+G1000+G999</f>
        <v>9920</v>
      </c>
    </row>
    <row r="997" spans="1:7" ht="24">
      <c r="A997" s="35" t="s">
        <v>528</v>
      </c>
      <c r="B997" s="51" t="s">
        <v>1969</v>
      </c>
      <c r="C997" s="15" t="s">
        <v>1653</v>
      </c>
      <c r="D997" s="15" t="s">
        <v>1143</v>
      </c>
      <c r="E997" s="15" t="s">
        <v>853</v>
      </c>
      <c r="F997" s="15" t="s">
        <v>1644</v>
      </c>
      <c r="G997" s="18">
        <f>G998</f>
        <v>8316</v>
      </c>
    </row>
    <row r="998" spans="1:7" ht="24">
      <c r="A998" s="35" t="s">
        <v>1535</v>
      </c>
      <c r="B998" s="51" t="s">
        <v>1969</v>
      </c>
      <c r="C998" s="15" t="s">
        <v>1653</v>
      </c>
      <c r="D998" s="15" t="s">
        <v>1143</v>
      </c>
      <c r="E998" s="15" t="s">
        <v>853</v>
      </c>
      <c r="F998" s="15" t="s">
        <v>1536</v>
      </c>
      <c r="G998" s="18">
        <f>4316+2000+2000</f>
        <v>8316</v>
      </c>
    </row>
    <row r="999" spans="1:7" ht="24.75" hidden="1">
      <c r="A999" s="118" t="s">
        <v>166</v>
      </c>
      <c r="B999" s="51" t="s">
        <v>1969</v>
      </c>
      <c r="C999" s="15" t="s">
        <v>1653</v>
      </c>
      <c r="D999" s="15" t="s">
        <v>1143</v>
      </c>
      <c r="E999" s="15" t="s">
        <v>853</v>
      </c>
      <c r="F999" s="15" t="s">
        <v>738</v>
      </c>
      <c r="G999" s="18"/>
    </row>
    <row r="1000" spans="1:7" ht="24">
      <c r="A1000" s="35" t="s">
        <v>1977</v>
      </c>
      <c r="B1000" s="51" t="s">
        <v>1969</v>
      </c>
      <c r="C1000" s="15" t="s">
        <v>1653</v>
      </c>
      <c r="D1000" s="15" t="s">
        <v>1143</v>
      </c>
      <c r="E1000" s="15" t="s">
        <v>853</v>
      </c>
      <c r="F1000" s="15" t="s">
        <v>1978</v>
      </c>
      <c r="G1000" s="18">
        <v>1604</v>
      </c>
    </row>
    <row r="1001" spans="1:7" ht="26.25" customHeight="1" hidden="1">
      <c r="A1001" s="118" t="s">
        <v>149</v>
      </c>
      <c r="B1001" s="51" t="s">
        <v>1969</v>
      </c>
      <c r="C1001" s="15" t="s">
        <v>1653</v>
      </c>
      <c r="D1001" s="15" t="s">
        <v>1143</v>
      </c>
      <c r="E1001" s="15" t="s">
        <v>150</v>
      </c>
      <c r="F1001" s="15" t="s">
        <v>575</v>
      </c>
      <c r="G1001" s="18">
        <f>G1002</f>
        <v>0</v>
      </c>
    </row>
    <row r="1002" spans="1:7" ht="25.5" customHeight="1" hidden="1">
      <c r="A1002" s="16" t="s">
        <v>1104</v>
      </c>
      <c r="B1002" s="51" t="s">
        <v>1969</v>
      </c>
      <c r="C1002" s="15" t="s">
        <v>1653</v>
      </c>
      <c r="D1002" s="15" t="s">
        <v>1143</v>
      </c>
      <c r="E1002" s="15" t="s">
        <v>150</v>
      </c>
      <c r="F1002" s="15" t="s">
        <v>139</v>
      </c>
      <c r="G1002" s="18"/>
    </row>
    <row r="1003" spans="1:7" ht="15">
      <c r="A1003" s="54" t="s">
        <v>985</v>
      </c>
      <c r="B1003" s="51" t="s">
        <v>1969</v>
      </c>
      <c r="C1003" s="15" t="s">
        <v>439</v>
      </c>
      <c r="D1003" s="15"/>
      <c r="E1003" s="15"/>
      <c r="F1003" s="15"/>
      <c r="G1003" s="18">
        <f>G1004+G1009+G1019+G1046+G1069</f>
        <v>502920</v>
      </c>
    </row>
    <row r="1004" spans="1:7" ht="15">
      <c r="A1004" s="75" t="s">
        <v>442</v>
      </c>
      <c r="B1004" s="51" t="s">
        <v>1969</v>
      </c>
      <c r="C1004" s="15" t="s">
        <v>439</v>
      </c>
      <c r="D1004" s="15" t="s">
        <v>1651</v>
      </c>
      <c r="E1004" s="15"/>
      <c r="F1004" s="15"/>
      <c r="G1004" s="18">
        <f>G1005</f>
        <v>1500</v>
      </c>
    </row>
    <row r="1005" spans="1:7" ht="15">
      <c r="A1005" s="31" t="s">
        <v>808</v>
      </c>
      <c r="B1005" s="51" t="s">
        <v>1969</v>
      </c>
      <c r="C1005" s="15" t="s">
        <v>439</v>
      </c>
      <c r="D1005" s="15" t="s">
        <v>1651</v>
      </c>
      <c r="E1005" s="15" t="s">
        <v>809</v>
      </c>
      <c r="F1005" s="15"/>
      <c r="G1005" s="18">
        <f>G1006</f>
        <v>1500</v>
      </c>
    </row>
    <row r="1006" spans="1:7" ht="24">
      <c r="A1006" s="35" t="s">
        <v>810</v>
      </c>
      <c r="B1006" s="51" t="s">
        <v>1969</v>
      </c>
      <c r="C1006" s="15" t="s">
        <v>439</v>
      </c>
      <c r="D1006" s="15" t="s">
        <v>1651</v>
      </c>
      <c r="E1006" s="15" t="s">
        <v>811</v>
      </c>
      <c r="F1006" s="15" t="s">
        <v>575</v>
      </c>
      <c r="G1006" s="18">
        <f>G1007</f>
        <v>1500</v>
      </c>
    </row>
    <row r="1007" spans="1:7" ht="24">
      <c r="A1007" s="16" t="s">
        <v>270</v>
      </c>
      <c r="B1007" s="51" t="s">
        <v>1969</v>
      </c>
      <c r="C1007" s="32" t="s">
        <v>439</v>
      </c>
      <c r="D1007" s="32" t="s">
        <v>1651</v>
      </c>
      <c r="E1007" s="25" t="s">
        <v>811</v>
      </c>
      <c r="F1007" s="25" t="s">
        <v>271</v>
      </c>
      <c r="G1007" s="18">
        <f>G1008</f>
        <v>1500</v>
      </c>
    </row>
    <row r="1008" spans="1:7" ht="31.5" customHeight="1">
      <c r="A1008" s="16" t="s">
        <v>269</v>
      </c>
      <c r="B1008" s="51" t="s">
        <v>1969</v>
      </c>
      <c r="C1008" s="52" t="s">
        <v>439</v>
      </c>
      <c r="D1008" s="52" t="s">
        <v>1651</v>
      </c>
      <c r="E1008" s="15" t="s">
        <v>811</v>
      </c>
      <c r="F1008" s="15" t="s">
        <v>570</v>
      </c>
      <c r="G1008" s="18">
        <f>1000+500</f>
        <v>1500</v>
      </c>
    </row>
    <row r="1009" spans="1:7" ht="15">
      <c r="A1009" s="29" t="s">
        <v>146</v>
      </c>
      <c r="B1009" s="51" t="s">
        <v>1969</v>
      </c>
      <c r="C1009" s="15" t="s">
        <v>439</v>
      </c>
      <c r="D1009" s="15" t="s">
        <v>1990</v>
      </c>
      <c r="E1009" s="15"/>
      <c r="F1009" s="15"/>
      <c r="G1009" s="18">
        <f>G1010+G1013+G1016</f>
        <v>98260</v>
      </c>
    </row>
    <row r="1010" spans="1:7" ht="15">
      <c r="A1010" s="31" t="s">
        <v>812</v>
      </c>
      <c r="B1010" s="51" t="s">
        <v>1969</v>
      </c>
      <c r="C1010" s="15" t="s">
        <v>439</v>
      </c>
      <c r="D1010" s="15" t="s">
        <v>1990</v>
      </c>
      <c r="E1010" s="15" t="s">
        <v>813</v>
      </c>
      <c r="F1010" s="15"/>
      <c r="G1010" s="18">
        <f>G1011</f>
        <v>6500</v>
      </c>
    </row>
    <row r="1011" spans="1:7" ht="24">
      <c r="A1011" s="16" t="s">
        <v>560</v>
      </c>
      <c r="B1011" s="51" t="s">
        <v>1969</v>
      </c>
      <c r="C1011" s="15" t="s">
        <v>439</v>
      </c>
      <c r="D1011" s="15" t="s">
        <v>1990</v>
      </c>
      <c r="E1011" s="15" t="s">
        <v>1364</v>
      </c>
      <c r="F1011" s="15" t="s">
        <v>575</v>
      </c>
      <c r="G1011" s="18">
        <f>G1012</f>
        <v>6500</v>
      </c>
    </row>
    <row r="1012" spans="1:7" ht="24">
      <c r="A1012" s="16" t="s">
        <v>700</v>
      </c>
      <c r="B1012" s="51" t="s">
        <v>1969</v>
      </c>
      <c r="C1012" s="15" t="s">
        <v>439</v>
      </c>
      <c r="D1012" s="15" t="s">
        <v>1990</v>
      </c>
      <c r="E1012" s="15" t="s">
        <v>1364</v>
      </c>
      <c r="F1012" s="15" t="s">
        <v>737</v>
      </c>
      <c r="G1012" s="18">
        <v>6500</v>
      </c>
    </row>
    <row r="1013" spans="1:7" ht="38.25" customHeight="1">
      <c r="A1013" s="16" t="s">
        <v>979</v>
      </c>
      <c r="B1013" s="51" t="s">
        <v>1969</v>
      </c>
      <c r="C1013" s="15" t="s">
        <v>439</v>
      </c>
      <c r="D1013" s="15" t="s">
        <v>1990</v>
      </c>
      <c r="E1013" s="15" t="s">
        <v>860</v>
      </c>
      <c r="F1013" s="15" t="s">
        <v>575</v>
      </c>
      <c r="G1013" s="18">
        <f>G1014</f>
        <v>91523</v>
      </c>
    </row>
    <row r="1014" spans="1:7" ht="20.25" customHeight="1">
      <c r="A1014" s="35" t="s">
        <v>528</v>
      </c>
      <c r="B1014" s="51" t="s">
        <v>1969</v>
      </c>
      <c r="C1014" s="15" t="s">
        <v>439</v>
      </c>
      <c r="D1014" s="15" t="s">
        <v>1990</v>
      </c>
      <c r="E1014" s="15" t="s">
        <v>860</v>
      </c>
      <c r="F1014" s="15" t="s">
        <v>1644</v>
      </c>
      <c r="G1014" s="18">
        <f>G1015</f>
        <v>91523</v>
      </c>
    </row>
    <row r="1015" spans="1:7" ht="19.5" customHeight="1">
      <c r="A1015" s="35" t="s">
        <v>1535</v>
      </c>
      <c r="B1015" s="51" t="s">
        <v>1969</v>
      </c>
      <c r="C1015" s="15" t="s">
        <v>439</v>
      </c>
      <c r="D1015" s="15" t="s">
        <v>1990</v>
      </c>
      <c r="E1015" s="15" t="s">
        <v>860</v>
      </c>
      <c r="F1015" s="15" t="s">
        <v>1536</v>
      </c>
      <c r="G1015" s="18">
        <v>91523</v>
      </c>
    </row>
    <row r="1016" spans="1:7" ht="39.75" customHeight="1">
      <c r="A1016" s="16" t="s">
        <v>602</v>
      </c>
      <c r="B1016" s="51" t="s">
        <v>1969</v>
      </c>
      <c r="C1016" s="15" t="s">
        <v>439</v>
      </c>
      <c r="D1016" s="15" t="s">
        <v>1990</v>
      </c>
      <c r="E1016" s="15" t="s">
        <v>603</v>
      </c>
      <c r="F1016" s="15" t="s">
        <v>575</v>
      </c>
      <c r="G1016" s="18">
        <f>G1017</f>
        <v>237</v>
      </c>
    </row>
    <row r="1017" spans="1:7" ht="19.5" customHeight="1">
      <c r="A1017" s="35" t="s">
        <v>172</v>
      </c>
      <c r="B1017" s="51" t="s">
        <v>1969</v>
      </c>
      <c r="C1017" s="15" t="s">
        <v>439</v>
      </c>
      <c r="D1017" s="15" t="s">
        <v>1990</v>
      </c>
      <c r="E1017" s="15" t="s">
        <v>603</v>
      </c>
      <c r="F1017" s="15" t="s">
        <v>1644</v>
      </c>
      <c r="G1017" s="18">
        <f>G1018</f>
        <v>237</v>
      </c>
    </row>
    <row r="1018" spans="1:7" ht="19.5" customHeight="1">
      <c r="A1018" s="35" t="s">
        <v>1535</v>
      </c>
      <c r="B1018" s="51" t="s">
        <v>1969</v>
      </c>
      <c r="C1018" s="15" t="s">
        <v>439</v>
      </c>
      <c r="D1018" s="15" t="s">
        <v>1990</v>
      </c>
      <c r="E1018" s="15" t="s">
        <v>603</v>
      </c>
      <c r="F1018" s="15" t="s">
        <v>1536</v>
      </c>
      <c r="G1018" s="18">
        <v>237</v>
      </c>
    </row>
    <row r="1019" spans="1:7" ht="15">
      <c r="A1019" s="199" t="s">
        <v>598</v>
      </c>
      <c r="B1019" s="51" t="s">
        <v>1969</v>
      </c>
      <c r="C1019" s="15" t="s">
        <v>439</v>
      </c>
      <c r="D1019" s="15" t="s">
        <v>1652</v>
      </c>
      <c r="E1019" s="15"/>
      <c r="F1019" s="15"/>
      <c r="G1019" s="18">
        <f>G1023+G1032+G1035</f>
        <v>365208</v>
      </c>
    </row>
    <row r="1020" spans="1:7" ht="27.75" customHeight="1" hidden="1">
      <c r="A1020" s="195" t="s">
        <v>427</v>
      </c>
      <c r="B1020" s="51" t="s">
        <v>1969</v>
      </c>
      <c r="C1020" s="15" t="s">
        <v>439</v>
      </c>
      <c r="D1020" s="15" t="s">
        <v>1652</v>
      </c>
      <c r="E1020" s="15" t="s">
        <v>102</v>
      </c>
      <c r="F1020" s="15"/>
      <c r="G1020" s="18">
        <f>G1021</f>
        <v>0</v>
      </c>
    </row>
    <row r="1021" spans="1:7" ht="24" customHeight="1" hidden="1">
      <c r="A1021" s="195" t="s">
        <v>14</v>
      </c>
      <c r="B1021" s="51" t="s">
        <v>1969</v>
      </c>
      <c r="C1021" s="15" t="s">
        <v>439</v>
      </c>
      <c r="D1021" s="15" t="s">
        <v>1652</v>
      </c>
      <c r="E1021" s="15" t="s">
        <v>15</v>
      </c>
      <c r="F1021" s="15" t="s">
        <v>575</v>
      </c>
      <c r="G1021" s="18">
        <f>G1022</f>
        <v>0</v>
      </c>
    </row>
    <row r="1022" spans="1:7" ht="24" customHeight="1" hidden="1">
      <c r="A1022" s="195" t="s">
        <v>166</v>
      </c>
      <c r="B1022" s="51" t="s">
        <v>1969</v>
      </c>
      <c r="C1022" s="15" t="s">
        <v>439</v>
      </c>
      <c r="D1022" s="15" t="s">
        <v>1652</v>
      </c>
      <c r="E1022" s="15" t="s">
        <v>15</v>
      </c>
      <c r="F1022" s="15" t="s">
        <v>167</v>
      </c>
      <c r="G1022" s="18"/>
    </row>
    <row r="1023" spans="1:7" ht="15">
      <c r="A1023" s="31" t="s">
        <v>147</v>
      </c>
      <c r="B1023" s="51" t="s">
        <v>1969</v>
      </c>
      <c r="C1023" s="15" t="s">
        <v>439</v>
      </c>
      <c r="D1023" s="15" t="s">
        <v>1652</v>
      </c>
      <c r="E1023" s="15" t="s">
        <v>148</v>
      </c>
      <c r="F1023" s="15"/>
      <c r="G1023" s="18">
        <f>G1024</f>
        <v>2589.6</v>
      </c>
    </row>
    <row r="1024" spans="1:7" ht="24">
      <c r="A1024" s="35" t="s">
        <v>2013</v>
      </c>
      <c r="B1024" s="51" t="s">
        <v>1969</v>
      </c>
      <c r="C1024" s="15" t="s">
        <v>439</v>
      </c>
      <c r="D1024" s="15" t="s">
        <v>1652</v>
      </c>
      <c r="E1024" s="15" t="s">
        <v>2014</v>
      </c>
      <c r="F1024" s="15" t="s">
        <v>575</v>
      </c>
      <c r="G1024" s="18">
        <f>G1025+G1028+G1030</f>
        <v>2589.6</v>
      </c>
    </row>
    <row r="1025" spans="1:7" ht="24">
      <c r="A1025" s="35" t="s">
        <v>528</v>
      </c>
      <c r="B1025" s="51" t="s">
        <v>1969</v>
      </c>
      <c r="C1025" s="15" t="s">
        <v>439</v>
      </c>
      <c r="D1025" s="15" t="s">
        <v>1652</v>
      </c>
      <c r="E1025" s="15" t="s">
        <v>2014</v>
      </c>
      <c r="F1025" s="15" t="s">
        <v>1644</v>
      </c>
      <c r="G1025" s="18">
        <f>G1026+G1027</f>
        <v>2589.6</v>
      </c>
    </row>
    <row r="1026" spans="1:7" ht="24">
      <c r="A1026" s="35" t="s">
        <v>95</v>
      </c>
      <c r="B1026" s="51" t="s">
        <v>1969</v>
      </c>
      <c r="C1026" s="15" t="s">
        <v>439</v>
      </c>
      <c r="D1026" s="15" t="s">
        <v>1652</v>
      </c>
      <c r="E1026" s="15" t="s">
        <v>2014</v>
      </c>
      <c r="F1026" s="15" t="s">
        <v>699</v>
      </c>
      <c r="G1026" s="18">
        <v>2339.6</v>
      </c>
    </row>
    <row r="1027" spans="1:7" ht="24">
      <c r="A1027" s="155" t="s">
        <v>1535</v>
      </c>
      <c r="B1027" s="51" t="s">
        <v>1969</v>
      </c>
      <c r="C1027" s="15" t="s">
        <v>439</v>
      </c>
      <c r="D1027" s="15" t="s">
        <v>1652</v>
      </c>
      <c r="E1027" s="15" t="s">
        <v>2014</v>
      </c>
      <c r="F1027" s="15" t="s">
        <v>1536</v>
      </c>
      <c r="G1027" s="18">
        <v>250</v>
      </c>
    </row>
    <row r="1028" spans="1:7" ht="24.75" hidden="1">
      <c r="A1028" s="16" t="s">
        <v>270</v>
      </c>
      <c r="B1028" s="51" t="s">
        <v>1969</v>
      </c>
      <c r="C1028" s="15" t="s">
        <v>439</v>
      </c>
      <c r="D1028" s="15" t="s">
        <v>1652</v>
      </c>
      <c r="E1028" s="15" t="s">
        <v>2014</v>
      </c>
      <c r="F1028" s="15" t="s">
        <v>271</v>
      </c>
      <c r="G1028" s="18">
        <f>G1029</f>
        <v>0</v>
      </c>
    </row>
    <row r="1029" spans="1:7" ht="24.75" hidden="1">
      <c r="A1029" s="16" t="s">
        <v>269</v>
      </c>
      <c r="B1029" s="51" t="s">
        <v>1969</v>
      </c>
      <c r="C1029" s="15" t="s">
        <v>439</v>
      </c>
      <c r="D1029" s="15" t="s">
        <v>1652</v>
      </c>
      <c r="E1029" s="15" t="s">
        <v>2014</v>
      </c>
      <c r="F1029" s="15" t="s">
        <v>570</v>
      </c>
      <c r="G1029" s="18">
        <f>100600+421.7+464-101485.7</f>
        <v>0</v>
      </c>
    </row>
    <row r="1030" spans="1:7" ht="34.5" customHeight="1" hidden="1">
      <c r="A1030" s="16" t="s">
        <v>1979</v>
      </c>
      <c r="B1030" s="51" t="s">
        <v>1969</v>
      </c>
      <c r="C1030" s="15" t="s">
        <v>439</v>
      </c>
      <c r="D1030" s="15" t="s">
        <v>1652</v>
      </c>
      <c r="E1030" s="15" t="s">
        <v>1980</v>
      </c>
      <c r="F1030" s="15" t="s">
        <v>575</v>
      </c>
      <c r="G1030" s="18">
        <f>G1031</f>
        <v>0</v>
      </c>
    </row>
    <row r="1031" spans="1:7" ht="24.75" customHeight="1" hidden="1">
      <c r="A1031" s="16" t="s">
        <v>1537</v>
      </c>
      <c r="B1031" s="51" t="s">
        <v>1969</v>
      </c>
      <c r="C1031" s="15" t="s">
        <v>439</v>
      </c>
      <c r="D1031" s="15" t="s">
        <v>1652</v>
      </c>
      <c r="E1031" s="15" t="s">
        <v>1980</v>
      </c>
      <c r="F1031" s="15" t="s">
        <v>180</v>
      </c>
      <c r="G1031" s="18"/>
    </row>
    <row r="1032" spans="1:7" ht="21" customHeight="1">
      <c r="A1032" s="31" t="s">
        <v>32</v>
      </c>
      <c r="B1032" s="51" t="s">
        <v>1969</v>
      </c>
      <c r="C1032" s="15" t="s">
        <v>439</v>
      </c>
      <c r="D1032" s="15" t="s">
        <v>1652</v>
      </c>
      <c r="E1032" s="15" t="s">
        <v>33</v>
      </c>
      <c r="F1032" s="15"/>
      <c r="G1032" s="18">
        <f>G1033</f>
        <v>30000</v>
      </c>
    </row>
    <row r="1033" spans="1:7" ht="43.5" customHeight="1">
      <c r="A1033" s="16" t="s">
        <v>144</v>
      </c>
      <c r="B1033" s="51" t="s">
        <v>1969</v>
      </c>
      <c r="C1033" s="15" t="s">
        <v>439</v>
      </c>
      <c r="D1033" s="15" t="s">
        <v>1652</v>
      </c>
      <c r="E1033" s="15" t="s">
        <v>142</v>
      </c>
      <c r="F1033" s="15" t="s">
        <v>575</v>
      </c>
      <c r="G1033" s="18">
        <f>G1034</f>
        <v>30000</v>
      </c>
    </row>
    <row r="1034" spans="1:7" ht="24.75" customHeight="1">
      <c r="A1034" s="155" t="s">
        <v>95</v>
      </c>
      <c r="B1034" s="51" t="s">
        <v>1969</v>
      </c>
      <c r="C1034" s="15" t="s">
        <v>439</v>
      </c>
      <c r="D1034" s="15" t="s">
        <v>1652</v>
      </c>
      <c r="E1034" s="15" t="s">
        <v>142</v>
      </c>
      <c r="F1034" s="15" t="s">
        <v>699</v>
      </c>
      <c r="G1034" s="18">
        <v>30000</v>
      </c>
    </row>
    <row r="1035" spans="1:7" ht="15">
      <c r="A1035" s="197" t="s">
        <v>1664</v>
      </c>
      <c r="B1035" s="51" t="s">
        <v>1969</v>
      </c>
      <c r="C1035" s="15" t="s">
        <v>439</v>
      </c>
      <c r="D1035" s="15" t="s">
        <v>1652</v>
      </c>
      <c r="E1035" s="15" t="s">
        <v>1663</v>
      </c>
      <c r="F1035" s="15"/>
      <c r="G1035" s="18">
        <f>G1036+G1040</f>
        <v>332618.4</v>
      </c>
    </row>
    <row r="1036" spans="1:7" ht="24">
      <c r="A1036" s="118" t="s">
        <v>375</v>
      </c>
      <c r="B1036" s="51" t="s">
        <v>1969</v>
      </c>
      <c r="C1036" s="15" t="s">
        <v>439</v>
      </c>
      <c r="D1036" s="15" t="s">
        <v>1652</v>
      </c>
      <c r="E1036" s="15" t="s">
        <v>527</v>
      </c>
      <c r="F1036" s="15" t="s">
        <v>575</v>
      </c>
      <c r="G1036" s="18">
        <f>G1037</f>
        <v>19851.300000000003</v>
      </c>
    </row>
    <row r="1037" spans="1:7" ht="18.75" customHeight="1">
      <c r="A1037" s="35" t="s">
        <v>528</v>
      </c>
      <c r="B1037" s="51" t="s">
        <v>1969</v>
      </c>
      <c r="C1037" s="15" t="s">
        <v>439</v>
      </c>
      <c r="D1037" s="15" t="s">
        <v>1652</v>
      </c>
      <c r="E1037" s="15" t="s">
        <v>527</v>
      </c>
      <c r="F1037" s="15" t="s">
        <v>1644</v>
      </c>
      <c r="G1037" s="18">
        <f>G1038+G1039</f>
        <v>19851.300000000003</v>
      </c>
    </row>
    <row r="1038" spans="1:7" ht="28.5" customHeight="1">
      <c r="A1038" s="35" t="s">
        <v>95</v>
      </c>
      <c r="B1038" s="51" t="s">
        <v>1969</v>
      </c>
      <c r="C1038" s="15" t="s">
        <v>439</v>
      </c>
      <c r="D1038" s="15" t="s">
        <v>1652</v>
      </c>
      <c r="E1038" s="15" t="s">
        <v>527</v>
      </c>
      <c r="F1038" s="15" t="s">
        <v>699</v>
      </c>
      <c r="G1038" s="18">
        <f>8815+2385.1+300-209.4</f>
        <v>11290.7</v>
      </c>
    </row>
    <row r="1039" spans="1:7" ht="18.75" customHeight="1">
      <c r="A1039" s="35" t="s">
        <v>1535</v>
      </c>
      <c r="B1039" s="51" t="s">
        <v>1969</v>
      </c>
      <c r="C1039" s="15" t="s">
        <v>439</v>
      </c>
      <c r="D1039" s="15" t="s">
        <v>1652</v>
      </c>
      <c r="E1039" s="15" t="s">
        <v>527</v>
      </c>
      <c r="F1039" s="15" t="s">
        <v>1536</v>
      </c>
      <c r="G1039" s="18">
        <f>9185+2143-2000-530.8-236.6</f>
        <v>8560.6</v>
      </c>
    </row>
    <row r="1040" spans="1:7" ht="28.5" customHeight="1">
      <c r="A1040" s="27" t="s">
        <v>1357</v>
      </c>
      <c r="B1040" s="51" t="s">
        <v>1969</v>
      </c>
      <c r="C1040" s="15" t="s">
        <v>439</v>
      </c>
      <c r="D1040" s="15" t="s">
        <v>1652</v>
      </c>
      <c r="E1040" s="15" t="s">
        <v>1356</v>
      </c>
      <c r="F1040" s="15" t="s">
        <v>575</v>
      </c>
      <c r="G1040" s="18">
        <f>G1041+G1043</f>
        <v>312767.10000000003</v>
      </c>
    </row>
    <row r="1041" spans="1:7" ht="18.75" customHeight="1">
      <c r="A1041" s="16" t="s">
        <v>270</v>
      </c>
      <c r="B1041" s="51" t="s">
        <v>1969</v>
      </c>
      <c r="C1041" s="15" t="s">
        <v>439</v>
      </c>
      <c r="D1041" s="15" t="s">
        <v>1652</v>
      </c>
      <c r="E1041" s="15" t="s">
        <v>1356</v>
      </c>
      <c r="F1041" s="15" t="s">
        <v>271</v>
      </c>
      <c r="G1041" s="18">
        <f>G1042</f>
        <v>101802</v>
      </c>
    </row>
    <row r="1042" spans="1:7" ht="23.25" customHeight="1">
      <c r="A1042" s="16" t="s">
        <v>269</v>
      </c>
      <c r="B1042" s="51" t="s">
        <v>1969</v>
      </c>
      <c r="C1042" s="15" t="s">
        <v>439</v>
      </c>
      <c r="D1042" s="15" t="s">
        <v>1652</v>
      </c>
      <c r="E1042" s="15" t="s">
        <v>1356</v>
      </c>
      <c r="F1042" s="15" t="s">
        <v>570</v>
      </c>
      <c r="G1042" s="18">
        <v>101802</v>
      </c>
    </row>
    <row r="1043" spans="1:7" ht="18.75" customHeight="1">
      <c r="A1043" s="155" t="s">
        <v>172</v>
      </c>
      <c r="B1043" s="51" t="s">
        <v>1969</v>
      </c>
      <c r="C1043" s="15" t="s">
        <v>439</v>
      </c>
      <c r="D1043" s="15" t="s">
        <v>1652</v>
      </c>
      <c r="E1043" s="15" t="s">
        <v>1356</v>
      </c>
      <c r="F1043" s="15" t="s">
        <v>1644</v>
      </c>
      <c r="G1043" s="18">
        <f>G1044+G1045</f>
        <v>210965.10000000003</v>
      </c>
    </row>
    <row r="1044" spans="1:7" ht="26.25" customHeight="1">
      <c r="A1044" s="155" t="s">
        <v>95</v>
      </c>
      <c r="B1044" s="51" t="s">
        <v>1969</v>
      </c>
      <c r="C1044" s="15" t="s">
        <v>439</v>
      </c>
      <c r="D1044" s="15" t="s">
        <v>1652</v>
      </c>
      <c r="E1044" s="15" t="s">
        <v>1356</v>
      </c>
      <c r="F1044" s="15" t="s">
        <v>699</v>
      </c>
      <c r="G1044" s="18">
        <f>207758.6-2385.1-6809.9-3110.3+7104.2</f>
        <v>202557.50000000003</v>
      </c>
    </row>
    <row r="1045" spans="1:7" ht="26.25" customHeight="1">
      <c r="A1045" s="35" t="s">
        <v>1535</v>
      </c>
      <c r="B1045" s="51" t="s">
        <v>1969</v>
      </c>
      <c r="C1045" s="15" t="s">
        <v>439</v>
      </c>
      <c r="D1045" s="15" t="s">
        <v>1652</v>
      </c>
      <c r="E1045" s="15" t="s">
        <v>1356</v>
      </c>
      <c r="F1045" s="15" t="s">
        <v>1536</v>
      </c>
      <c r="G1045" s="18">
        <f>1147.3+154.5+480+6809.8-184</f>
        <v>8407.6</v>
      </c>
    </row>
    <row r="1046" spans="1:7" ht="15">
      <c r="A1046" s="29" t="s">
        <v>1546</v>
      </c>
      <c r="B1046" s="51" t="s">
        <v>1969</v>
      </c>
      <c r="C1046" s="15" t="s">
        <v>439</v>
      </c>
      <c r="D1046" s="15" t="s">
        <v>1650</v>
      </c>
      <c r="E1046" s="15"/>
      <c r="F1046" s="15"/>
      <c r="G1046" s="18">
        <f>G1047+G1056+G1064</f>
        <v>22367</v>
      </c>
    </row>
    <row r="1047" spans="1:7" ht="15">
      <c r="A1047" s="30" t="s">
        <v>1547</v>
      </c>
      <c r="B1047" s="51" t="s">
        <v>1969</v>
      </c>
      <c r="C1047" s="15" t="s">
        <v>439</v>
      </c>
      <c r="D1047" s="15" t="s">
        <v>1650</v>
      </c>
      <c r="E1047" s="15" t="s">
        <v>667</v>
      </c>
      <c r="F1047" s="15"/>
      <c r="G1047" s="18">
        <f>G1048</f>
        <v>18017</v>
      </c>
    </row>
    <row r="1048" spans="1:7" ht="24">
      <c r="A1048" s="16" t="s">
        <v>2002</v>
      </c>
      <c r="B1048" s="51" t="s">
        <v>1969</v>
      </c>
      <c r="C1048" s="15" t="s">
        <v>439</v>
      </c>
      <c r="D1048" s="15" t="s">
        <v>1650</v>
      </c>
      <c r="E1048" s="15" t="s">
        <v>1150</v>
      </c>
      <c r="F1048" s="15" t="s">
        <v>575</v>
      </c>
      <c r="G1048" s="18">
        <f>G1049</f>
        <v>18017</v>
      </c>
    </row>
    <row r="1049" spans="1:7" ht="24">
      <c r="A1049" s="16" t="s">
        <v>270</v>
      </c>
      <c r="B1049" s="51" t="s">
        <v>1969</v>
      </c>
      <c r="C1049" s="15" t="s">
        <v>439</v>
      </c>
      <c r="D1049" s="15" t="s">
        <v>1650</v>
      </c>
      <c r="E1049" s="15" t="s">
        <v>1150</v>
      </c>
      <c r="F1049" s="15" t="s">
        <v>271</v>
      </c>
      <c r="G1049" s="18">
        <f>G1050+G1051+G1063</f>
        <v>18017</v>
      </c>
    </row>
    <row r="1050" spans="1:7" ht="24">
      <c r="A1050" s="16" t="s">
        <v>269</v>
      </c>
      <c r="B1050" s="51" t="s">
        <v>1969</v>
      </c>
      <c r="C1050" s="15" t="s">
        <v>439</v>
      </c>
      <c r="D1050" s="15" t="s">
        <v>1650</v>
      </c>
      <c r="E1050" s="15" t="s">
        <v>1150</v>
      </c>
      <c r="F1050" s="15" t="s">
        <v>570</v>
      </c>
      <c r="G1050" s="18">
        <f>18281-3081+1632+385-385+750</f>
        <v>17582</v>
      </c>
    </row>
    <row r="1051" spans="1:7" ht="24.75" hidden="1">
      <c r="A1051" s="16" t="s">
        <v>1997</v>
      </c>
      <c r="B1051" s="51" t="s">
        <v>1969</v>
      </c>
      <c r="C1051" s="15" t="s">
        <v>439</v>
      </c>
      <c r="D1051" s="15" t="s">
        <v>1650</v>
      </c>
      <c r="E1051" s="15" t="s">
        <v>1150</v>
      </c>
      <c r="F1051" s="15" t="s">
        <v>180</v>
      </c>
      <c r="G1051" s="18">
        <f>G1052+G1053+G1054+G1055</f>
        <v>0</v>
      </c>
    </row>
    <row r="1052" spans="1:7" ht="17.25" customHeight="1" hidden="1">
      <c r="A1052" s="16" t="s">
        <v>151</v>
      </c>
      <c r="B1052" s="51" t="s">
        <v>1969</v>
      </c>
      <c r="C1052" s="15" t="s">
        <v>439</v>
      </c>
      <c r="D1052" s="15" t="s">
        <v>1650</v>
      </c>
      <c r="E1052" s="15" t="s">
        <v>1150</v>
      </c>
      <c r="F1052" s="15" t="s">
        <v>180</v>
      </c>
      <c r="G1052" s="18"/>
    </row>
    <row r="1053" spans="1:7" ht="17.25" customHeight="1" hidden="1">
      <c r="A1053" s="16" t="s">
        <v>1999</v>
      </c>
      <c r="B1053" s="51" t="s">
        <v>1969</v>
      </c>
      <c r="C1053" s="15" t="s">
        <v>439</v>
      </c>
      <c r="D1053" s="15" t="s">
        <v>1650</v>
      </c>
      <c r="E1053" s="15" t="s">
        <v>1150</v>
      </c>
      <c r="F1053" s="15" t="s">
        <v>180</v>
      </c>
      <c r="G1053" s="18"/>
    </row>
    <row r="1054" spans="1:7" ht="17.25" customHeight="1" hidden="1">
      <c r="A1054" s="16" t="s">
        <v>2000</v>
      </c>
      <c r="B1054" s="51" t="s">
        <v>1969</v>
      </c>
      <c r="C1054" s="15" t="s">
        <v>439</v>
      </c>
      <c r="D1054" s="15" t="s">
        <v>1650</v>
      </c>
      <c r="E1054" s="15" t="s">
        <v>1150</v>
      </c>
      <c r="F1054" s="15" t="s">
        <v>180</v>
      </c>
      <c r="G1054" s="18"/>
    </row>
    <row r="1055" spans="1:7" ht="41.25" customHeight="1" hidden="1">
      <c r="A1055" s="16" t="s">
        <v>1138</v>
      </c>
      <c r="B1055" s="51" t="s">
        <v>1969</v>
      </c>
      <c r="C1055" s="15" t="s">
        <v>439</v>
      </c>
      <c r="D1055" s="15" t="s">
        <v>1650</v>
      </c>
      <c r="E1055" s="15" t="s">
        <v>1150</v>
      </c>
      <c r="F1055" s="15" t="s">
        <v>180</v>
      </c>
      <c r="G1055" s="18"/>
    </row>
    <row r="1056" spans="1:7" ht="63" customHeight="1" hidden="1">
      <c r="A1056" s="16" t="s">
        <v>1079</v>
      </c>
      <c r="B1056" s="51" t="s">
        <v>1969</v>
      </c>
      <c r="C1056" s="15" t="s">
        <v>439</v>
      </c>
      <c r="D1056" s="15" t="s">
        <v>1650</v>
      </c>
      <c r="E1056" s="15" t="s">
        <v>1080</v>
      </c>
      <c r="F1056" s="15" t="s">
        <v>575</v>
      </c>
      <c r="G1056" s="18">
        <f>G1057+G1059+G1061</f>
        <v>0</v>
      </c>
    </row>
    <row r="1057" spans="1:7" ht="30.75" customHeight="1" hidden="1">
      <c r="A1057" s="16" t="s">
        <v>1660</v>
      </c>
      <c r="B1057" s="51" t="s">
        <v>1969</v>
      </c>
      <c r="C1057" s="15" t="s">
        <v>439</v>
      </c>
      <c r="D1057" s="15" t="s">
        <v>1650</v>
      </c>
      <c r="E1057" s="15" t="s">
        <v>255</v>
      </c>
      <c r="F1057" s="15" t="s">
        <v>575</v>
      </c>
      <c r="G1057" s="18">
        <f>G1058</f>
        <v>0</v>
      </c>
    </row>
    <row r="1058" spans="1:7" ht="20.25" customHeight="1" hidden="1">
      <c r="A1058" s="16" t="s">
        <v>698</v>
      </c>
      <c r="B1058" s="51" t="s">
        <v>1969</v>
      </c>
      <c r="C1058" s="15" t="s">
        <v>439</v>
      </c>
      <c r="D1058" s="15" t="s">
        <v>1650</v>
      </c>
      <c r="E1058" s="15" t="s">
        <v>255</v>
      </c>
      <c r="F1058" s="15" t="s">
        <v>463</v>
      </c>
      <c r="G1058" s="18"/>
    </row>
    <row r="1059" spans="1:7" ht="27" customHeight="1" hidden="1">
      <c r="A1059" s="16" t="s">
        <v>256</v>
      </c>
      <c r="B1059" s="51" t="s">
        <v>1969</v>
      </c>
      <c r="C1059" s="15" t="s">
        <v>439</v>
      </c>
      <c r="D1059" s="15" t="s">
        <v>1650</v>
      </c>
      <c r="E1059" s="15" t="s">
        <v>257</v>
      </c>
      <c r="F1059" s="15" t="s">
        <v>575</v>
      </c>
      <c r="G1059" s="18">
        <f>G1060</f>
        <v>0</v>
      </c>
    </row>
    <row r="1060" spans="1:7" ht="21.75" customHeight="1" hidden="1">
      <c r="A1060" s="16" t="s">
        <v>698</v>
      </c>
      <c r="B1060" s="51" t="s">
        <v>1969</v>
      </c>
      <c r="C1060" s="15" t="s">
        <v>439</v>
      </c>
      <c r="D1060" s="15" t="s">
        <v>1650</v>
      </c>
      <c r="E1060" s="15" t="s">
        <v>257</v>
      </c>
      <c r="F1060" s="15" t="s">
        <v>463</v>
      </c>
      <c r="G1060" s="18"/>
    </row>
    <row r="1061" spans="1:7" ht="27.75" customHeight="1" hidden="1">
      <c r="A1061" s="16" t="s">
        <v>258</v>
      </c>
      <c r="B1061" s="51" t="s">
        <v>1969</v>
      </c>
      <c r="C1061" s="15" t="s">
        <v>439</v>
      </c>
      <c r="D1061" s="15" t="s">
        <v>1650</v>
      </c>
      <c r="E1061" s="15" t="s">
        <v>259</v>
      </c>
      <c r="F1061" s="15" t="s">
        <v>575</v>
      </c>
      <c r="G1061" s="18">
        <f>G1062</f>
        <v>0</v>
      </c>
    </row>
    <row r="1062" spans="1:7" ht="24" customHeight="1" hidden="1">
      <c r="A1062" s="16" t="s">
        <v>698</v>
      </c>
      <c r="B1062" s="51" t="s">
        <v>1969</v>
      </c>
      <c r="C1062" s="15" t="s">
        <v>439</v>
      </c>
      <c r="D1062" s="15" t="s">
        <v>1650</v>
      </c>
      <c r="E1062" s="15" t="s">
        <v>259</v>
      </c>
      <c r="F1062" s="15" t="s">
        <v>463</v>
      </c>
      <c r="G1062" s="18"/>
    </row>
    <row r="1063" spans="1:7" ht="24" customHeight="1">
      <c r="A1063" s="16" t="s">
        <v>1447</v>
      </c>
      <c r="B1063" s="51" t="s">
        <v>1969</v>
      </c>
      <c r="C1063" s="15" t="s">
        <v>439</v>
      </c>
      <c r="D1063" s="15" t="s">
        <v>1650</v>
      </c>
      <c r="E1063" s="15" t="s">
        <v>1150</v>
      </c>
      <c r="F1063" s="15" t="s">
        <v>180</v>
      </c>
      <c r="G1063" s="18">
        <f>385+50</f>
        <v>435</v>
      </c>
    </row>
    <row r="1064" spans="1:7" ht="17.25" customHeight="1">
      <c r="A1064" s="31" t="s">
        <v>1664</v>
      </c>
      <c r="B1064" s="51" t="s">
        <v>1969</v>
      </c>
      <c r="C1064" s="15" t="s">
        <v>439</v>
      </c>
      <c r="D1064" s="15" t="s">
        <v>1650</v>
      </c>
      <c r="E1064" s="15" t="s">
        <v>1663</v>
      </c>
      <c r="F1064" s="15"/>
      <c r="G1064" s="18">
        <f>G1065</f>
        <v>4350</v>
      </c>
    </row>
    <row r="1065" spans="1:7" ht="53.25" customHeight="1">
      <c r="A1065" s="193" t="s">
        <v>152</v>
      </c>
      <c r="B1065" s="51" t="s">
        <v>1969</v>
      </c>
      <c r="C1065" s="15" t="s">
        <v>439</v>
      </c>
      <c r="D1065" s="15" t="s">
        <v>1650</v>
      </c>
      <c r="E1065" s="15" t="s">
        <v>27</v>
      </c>
      <c r="F1065" s="24" t="s">
        <v>575</v>
      </c>
      <c r="G1065" s="18">
        <f>G1066+G1068</f>
        <v>4350</v>
      </c>
    </row>
    <row r="1066" spans="1:7" ht="17.25" customHeight="1">
      <c r="A1066" s="16" t="s">
        <v>1019</v>
      </c>
      <c r="B1066" s="51" t="s">
        <v>1969</v>
      </c>
      <c r="C1066" s="15" t="s">
        <v>439</v>
      </c>
      <c r="D1066" s="15" t="s">
        <v>1650</v>
      </c>
      <c r="E1066" s="15" t="s">
        <v>27</v>
      </c>
      <c r="F1066" s="24" t="s">
        <v>1644</v>
      </c>
      <c r="G1066" s="18">
        <f>G1067</f>
        <v>1550</v>
      </c>
    </row>
    <row r="1067" spans="1:7" ht="26.25" customHeight="1">
      <c r="A1067" s="35" t="s">
        <v>848</v>
      </c>
      <c r="B1067" s="51" t="s">
        <v>1969</v>
      </c>
      <c r="C1067" s="15" t="s">
        <v>439</v>
      </c>
      <c r="D1067" s="15" t="s">
        <v>1650</v>
      </c>
      <c r="E1067" s="15" t="s">
        <v>27</v>
      </c>
      <c r="F1067" s="24" t="s">
        <v>846</v>
      </c>
      <c r="G1067" s="18">
        <f>4350-4350+1550</f>
        <v>1550</v>
      </c>
    </row>
    <row r="1068" spans="1:7" ht="26.25" customHeight="1">
      <c r="A1068" s="16" t="s">
        <v>700</v>
      </c>
      <c r="B1068" s="51" t="s">
        <v>1969</v>
      </c>
      <c r="C1068" s="15" t="s">
        <v>439</v>
      </c>
      <c r="D1068" s="15" t="s">
        <v>1650</v>
      </c>
      <c r="E1068" s="15" t="s">
        <v>27</v>
      </c>
      <c r="F1068" s="24" t="s">
        <v>737</v>
      </c>
      <c r="G1068" s="18">
        <f>4350-1550</f>
        <v>2800</v>
      </c>
    </row>
    <row r="1069" spans="1:7" ht="17.25" customHeight="1">
      <c r="A1069" s="29" t="s">
        <v>97</v>
      </c>
      <c r="B1069" s="51" t="s">
        <v>1969</v>
      </c>
      <c r="C1069" s="15" t="s">
        <v>439</v>
      </c>
      <c r="D1069" s="15" t="s">
        <v>1655</v>
      </c>
      <c r="E1069" s="15"/>
      <c r="F1069" s="24"/>
      <c r="G1069" s="18">
        <f>G1070+G1072+G1074+G1087+G1084</f>
        <v>15585</v>
      </c>
    </row>
    <row r="1070" spans="1:7" ht="27.75" customHeight="1" hidden="1">
      <c r="A1070" s="31" t="s">
        <v>1528</v>
      </c>
      <c r="B1070" s="51" t="s">
        <v>1969</v>
      </c>
      <c r="C1070" s="15" t="s">
        <v>439</v>
      </c>
      <c r="D1070" s="15" t="s">
        <v>98</v>
      </c>
      <c r="E1070" s="15" t="s">
        <v>1529</v>
      </c>
      <c r="F1070" s="24"/>
      <c r="G1070" s="18">
        <f>G1071</f>
        <v>0</v>
      </c>
    </row>
    <row r="1071" spans="1:7" ht="22.5" customHeight="1" hidden="1">
      <c r="A1071" s="35" t="s">
        <v>1633</v>
      </c>
      <c r="B1071" s="51" t="s">
        <v>1969</v>
      </c>
      <c r="C1071" s="15" t="s">
        <v>439</v>
      </c>
      <c r="D1071" s="15" t="s">
        <v>98</v>
      </c>
      <c r="E1071" s="15" t="s">
        <v>1529</v>
      </c>
      <c r="F1071" s="24" t="s">
        <v>1530</v>
      </c>
      <c r="G1071" s="18"/>
    </row>
    <row r="1072" spans="1:7" ht="26.25" customHeight="1" hidden="1">
      <c r="A1072" s="30" t="s">
        <v>1151</v>
      </c>
      <c r="B1072" s="51" t="s">
        <v>1969</v>
      </c>
      <c r="C1072" s="15" t="s">
        <v>439</v>
      </c>
      <c r="D1072" s="15" t="s">
        <v>1655</v>
      </c>
      <c r="E1072" s="15" t="s">
        <v>1529</v>
      </c>
      <c r="F1072" s="24"/>
      <c r="G1072" s="18">
        <f>G1073</f>
        <v>0</v>
      </c>
    </row>
    <row r="1073" spans="1:7" ht="21" customHeight="1" hidden="1">
      <c r="A1073" s="118" t="s">
        <v>1104</v>
      </c>
      <c r="B1073" s="51" t="s">
        <v>1969</v>
      </c>
      <c r="C1073" s="15" t="s">
        <v>439</v>
      </c>
      <c r="D1073" s="15" t="s">
        <v>1655</v>
      </c>
      <c r="E1073" s="15" t="s">
        <v>1529</v>
      </c>
      <c r="F1073" s="24" t="s">
        <v>139</v>
      </c>
      <c r="G1073" s="18"/>
    </row>
    <row r="1074" spans="1:7" ht="24">
      <c r="A1074" s="31" t="s">
        <v>99</v>
      </c>
      <c r="B1074" s="51" t="s">
        <v>1969</v>
      </c>
      <c r="C1074" s="15" t="s">
        <v>439</v>
      </c>
      <c r="D1074" s="15" t="s">
        <v>1655</v>
      </c>
      <c r="E1074" s="15" t="s">
        <v>100</v>
      </c>
      <c r="F1074" s="15"/>
      <c r="G1074" s="18">
        <f>G1078+G1075+G1081</f>
        <v>10578</v>
      </c>
    </row>
    <row r="1075" spans="1:7" ht="15">
      <c r="A1075" s="118" t="s">
        <v>715</v>
      </c>
      <c r="B1075" s="51" t="s">
        <v>1969</v>
      </c>
      <c r="C1075" s="15" t="s">
        <v>439</v>
      </c>
      <c r="D1075" s="15" t="s">
        <v>1655</v>
      </c>
      <c r="E1075" s="15" t="s">
        <v>1576</v>
      </c>
      <c r="F1075" s="24" t="s">
        <v>575</v>
      </c>
      <c r="G1075" s="18">
        <f>G1076</f>
        <v>3200</v>
      </c>
    </row>
    <row r="1076" spans="1:7" ht="15">
      <c r="A1076" s="35" t="s">
        <v>528</v>
      </c>
      <c r="B1076" s="51" t="s">
        <v>1969</v>
      </c>
      <c r="C1076" s="15" t="s">
        <v>439</v>
      </c>
      <c r="D1076" s="15" t="s">
        <v>1655</v>
      </c>
      <c r="E1076" s="15" t="s">
        <v>1576</v>
      </c>
      <c r="F1076" s="24" t="s">
        <v>1644</v>
      </c>
      <c r="G1076" s="18">
        <f>G1077</f>
        <v>3200</v>
      </c>
    </row>
    <row r="1077" spans="1:7" ht="15">
      <c r="A1077" s="35" t="s">
        <v>1535</v>
      </c>
      <c r="B1077" s="51" t="s">
        <v>1969</v>
      </c>
      <c r="C1077" s="15" t="s">
        <v>439</v>
      </c>
      <c r="D1077" s="15" t="s">
        <v>1655</v>
      </c>
      <c r="E1077" s="15" t="s">
        <v>1576</v>
      </c>
      <c r="F1077" s="24" t="s">
        <v>1536</v>
      </c>
      <c r="G1077" s="18">
        <v>3200</v>
      </c>
    </row>
    <row r="1078" spans="1:7" ht="48">
      <c r="A1078" s="16" t="s">
        <v>580</v>
      </c>
      <c r="B1078" s="51" t="s">
        <v>1969</v>
      </c>
      <c r="C1078" s="15" t="s">
        <v>439</v>
      </c>
      <c r="D1078" s="15" t="s">
        <v>1655</v>
      </c>
      <c r="E1078" s="15" t="s">
        <v>1152</v>
      </c>
      <c r="F1078" s="15" t="s">
        <v>575</v>
      </c>
      <c r="G1078" s="18">
        <f>G1079</f>
        <v>685</v>
      </c>
    </row>
    <row r="1079" spans="1:7" ht="24">
      <c r="A1079" s="16" t="s">
        <v>270</v>
      </c>
      <c r="B1079" s="51" t="s">
        <v>1969</v>
      </c>
      <c r="C1079" s="15" t="s">
        <v>439</v>
      </c>
      <c r="D1079" s="15" t="s">
        <v>1655</v>
      </c>
      <c r="E1079" s="15" t="s">
        <v>1152</v>
      </c>
      <c r="F1079" s="15" t="s">
        <v>271</v>
      </c>
      <c r="G1079" s="18">
        <f>G1080</f>
        <v>685</v>
      </c>
    </row>
    <row r="1080" spans="1:7" ht="24">
      <c r="A1080" s="16" t="s">
        <v>269</v>
      </c>
      <c r="B1080" s="51" t="s">
        <v>1969</v>
      </c>
      <c r="C1080" s="15" t="s">
        <v>439</v>
      </c>
      <c r="D1080" s="15" t="s">
        <v>1655</v>
      </c>
      <c r="E1080" s="15" t="s">
        <v>1152</v>
      </c>
      <c r="F1080" s="15" t="s">
        <v>570</v>
      </c>
      <c r="G1080" s="18">
        <v>685</v>
      </c>
    </row>
    <row r="1081" spans="1:7" ht="15">
      <c r="A1081" s="16" t="s">
        <v>801</v>
      </c>
      <c r="B1081" s="51" t="s">
        <v>1969</v>
      </c>
      <c r="C1081" s="15" t="s">
        <v>439</v>
      </c>
      <c r="D1081" s="15" t="s">
        <v>1655</v>
      </c>
      <c r="E1081" s="15" t="s">
        <v>800</v>
      </c>
      <c r="F1081" s="15"/>
      <c r="G1081" s="18">
        <f>G1082</f>
        <v>6693</v>
      </c>
    </row>
    <row r="1082" spans="1:7" ht="36">
      <c r="A1082" s="16" t="s">
        <v>802</v>
      </c>
      <c r="B1082" s="51" t="s">
        <v>1969</v>
      </c>
      <c r="C1082" s="15" t="s">
        <v>439</v>
      </c>
      <c r="D1082" s="15" t="s">
        <v>1655</v>
      </c>
      <c r="E1082" s="15" t="s">
        <v>799</v>
      </c>
      <c r="F1082" s="15" t="s">
        <v>575</v>
      </c>
      <c r="G1082" s="18">
        <f>G1083</f>
        <v>6693</v>
      </c>
    </row>
    <row r="1083" spans="1:7" ht="36">
      <c r="A1083" s="16" t="s">
        <v>127</v>
      </c>
      <c r="B1083" s="51" t="s">
        <v>1969</v>
      </c>
      <c r="C1083" s="15" t="s">
        <v>439</v>
      </c>
      <c r="D1083" s="15" t="s">
        <v>1655</v>
      </c>
      <c r="E1083" s="15" t="s">
        <v>799</v>
      </c>
      <c r="F1083" s="15" t="s">
        <v>737</v>
      </c>
      <c r="G1083" s="18">
        <v>6693</v>
      </c>
    </row>
    <row r="1084" spans="1:7" ht="15">
      <c r="A1084" s="31" t="s">
        <v>32</v>
      </c>
      <c r="B1084" s="51" t="s">
        <v>1969</v>
      </c>
      <c r="C1084" s="15" t="s">
        <v>439</v>
      </c>
      <c r="D1084" s="15" t="s">
        <v>1655</v>
      </c>
      <c r="E1084" s="15" t="s">
        <v>33</v>
      </c>
      <c r="F1084" s="15"/>
      <c r="G1084" s="18">
        <f>G1085</f>
        <v>3007</v>
      </c>
    </row>
    <row r="1085" spans="1:7" ht="36">
      <c r="A1085" s="16" t="s">
        <v>127</v>
      </c>
      <c r="B1085" s="51" t="s">
        <v>1969</v>
      </c>
      <c r="C1085" s="15" t="s">
        <v>439</v>
      </c>
      <c r="D1085" s="15" t="s">
        <v>1655</v>
      </c>
      <c r="E1085" s="15" t="s">
        <v>1044</v>
      </c>
      <c r="F1085" s="15" t="s">
        <v>575</v>
      </c>
      <c r="G1085" s="18">
        <f>G1086</f>
        <v>3007</v>
      </c>
    </row>
    <row r="1086" spans="1:7" ht="36">
      <c r="A1086" s="16" t="s">
        <v>127</v>
      </c>
      <c r="B1086" s="51" t="s">
        <v>1969</v>
      </c>
      <c r="C1086" s="15" t="s">
        <v>439</v>
      </c>
      <c r="D1086" s="15" t="s">
        <v>1655</v>
      </c>
      <c r="E1086" s="15" t="s">
        <v>1044</v>
      </c>
      <c r="F1086" s="15" t="s">
        <v>737</v>
      </c>
      <c r="G1086" s="18">
        <v>3007</v>
      </c>
    </row>
    <row r="1087" spans="1:7" ht="15">
      <c r="A1087" s="31" t="s">
        <v>1664</v>
      </c>
      <c r="B1087" s="51" t="s">
        <v>1969</v>
      </c>
      <c r="C1087" s="15" t="s">
        <v>439</v>
      </c>
      <c r="D1087" s="15" t="s">
        <v>1655</v>
      </c>
      <c r="E1087" s="15" t="s">
        <v>1663</v>
      </c>
      <c r="F1087" s="15"/>
      <c r="G1087" s="18">
        <f>G1088</f>
        <v>2000</v>
      </c>
    </row>
    <row r="1088" spans="1:7" ht="24">
      <c r="A1088" s="16" t="s">
        <v>872</v>
      </c>
      <c r="B1088" s="51" t="s">
        <v>1969</v>
      </c>
      <c r="C1088" s="15" t="s">
        <v>439</v>
      </c>
      <c r="D1088" s="15" t="s">
        <v>1655</v>
      </c>
      <c r="E1088" s="15" t="s">
        <v>873</v>
      </c>
      <c r="F1088" s="15" t="s">
        <v>575</v>
      </c>
      <c r="G1088" s="18">
        <f>G1089</f>
        <v>2000</v>
      </c>
    </row>
    <row r="1089" spans="1:7" ht="36">
      <c r="A1089" s="16" t="s">
        <v>305</v>
      </c>
      <c r="B1089" s="51" t="s">
        <v>1969</v>
      </c>
      <c r="C1089" s="15" t="s">
        <v>439</v>
      </c>
      <c r="D1089" s="15" t="s">
        <v>1655</v>
      </c>
      <c r="E1089" s="15" t="s">
        <v>873</v>
      </c>
      <c r="F1089" s="15" t="s">
        <v>737</v>
      </c>
      <c r="G1089" s="18">
        <f>G1090+G1091</f>
        <v>2000</v>
      </c>
    </row>
    <row r="1090" spans="1:7" ht="36">
      <c r="A1090" s="181" t="s">
        <v>871</v>
      </c>
      <c r="B1090" s="51" t="s">
        <v>1969</v>
      </c>
      <c r="C1090" s="15" t="s">
        <v>439</v>
      </c>
      <c r="D1090" s="15" t="s">
        <v>1655</v>
      </c>
      <c r="E1090" s="15" t="s">
        <v>873</v>
      </c>
      <c r="F1090" s="15" t="s">
        <v>737</v>
      </c>
      <c r="G1090" s="18">
        <v>1000</v>
      </c>
    </row>
    <row r="1091" spans="1:7" ht="48">
      <c r="A1091" s="16" t="s">
        <v>307</v>
      </c>
      <c r="B1091" s="51" t="s">
        <v>1969</v>
      </c>
      <c r="C1091" s="15" t="s">
        <v>439</v>
      </c>
      <c r="D1091" s="15" t="s">
        <v>1655</v>
      </c>
      <c r="E1091" s="15" t="s">
        <v>873</v>
      </c>
      <c r="F1091" s="15" t="s">
        <v>737</v>
      </c>
      <c r="G1091" s="18">
        <v>1000</v>
      </c>
    </row>
    <row r="1092" spans="1:7" ht="15">
      <c r="A1092" s="54" t="s">
        <v>1654</v>
      </c>
      <c r="B1092" s="51" t="s">
        <v>1969</v>
      </c>
      <c r="C1092" s="15" t="s">
        <v>1648</v>
      </c>
      <c r="D1092" s="15"/>
      <c r="E1092" s="15"/>
      <c r="F1092" s="24"/>
      <c r="G1092" s="18">
        <f>G1093+G1147+G1170</f>
        <v>340016.30000000005</v>
      </c>
    </row>
    <row r="1093" spans="1:7" ht="15">
      <c r="A1093" s="29" t="s">
        <v>377</v>
      </c>
      <c r="B1093" s="51" t="s">
        <v>1969</v>
      </c>
      <c r="C1093" s="15" t="s">
        <v>1648</v>
      </c>
      <c r="D1093" s="15" t="s">
        <v>1624</v>
      </c>
      <c r="E1093" s="15"/>
      <c r="F1093" s="24"/>
      <c r="G1093" s="18">
        <f>G1094+G1099+G1104+G1107+G1110+G1123+G1130+G1136+G1140+G1143</f>
        <v>145111.2</v>
      </c>
    </row>
    <row r="1094" spans="1:7" ht="36" hidden="1">
      <c r="A1094" s="31" t="s">
        <v>1004</v>
      </c>
      <c r="B1094" s="51" t="s">
        <v>1969</v>
      </c>
      <c r="C1094" s="24" t="s">
        <v>1648</v>
      </c>
      <c r="D1094" s="24" t="s">
        <v>1624</v>
      </c>
      <c r="E1094" s="24" t="s">
        <v>1005</v>
      </c>
      <c r="F1094" s="24"/>
      <c r="G1094" s="18">
        <f>G1095+G1097</f>
        <v>0</v>
      </c>
    </row>
    <row r="1095" spans="1:7" ht="48" hidden="1">
      <c r="A1095" s="35" t="s">
        <v>1006</v>
      </c>
      <c r="B1095" s="51" t="s">
        <v>1969</v>
      </c>
      <c r="C1095" s="24" t="s">
        <v>1648</v>
      </c>
      <c r="D1095" s="24" t="s">
        <v>1624</v>
      </c>
      <c r="E1095" s="24" t="s">
        <v>1007</v>
      </c>
      <c r="F1095" s="24" t="s">
        <v>575</v>
      </c>
      <c r="G1095" s="18">
        <f>G1096</f>
        <v>0</v>
      </c>
    </row>
    <row r="1096" spans="1:7" ht="24" hidden="1">
      <c r="A1096" s="35" t="s">
        <v>700</v>
      </c>
      <c r="B1096" s="51" t="s">
        <v>1969</v>
      </c>
      <c r="C1096" s="24" t="s">
        <v>1648</v>
      </c>
      <c r="D1096" s="24" t="s">
        <v>1624</v>
      </c>
      <c r="E1096" s="24" t="s">
        <v>1007</v>
      </c>
      <c r="F1096" s="24" t="s">
        <v>737</v>
      </c>
      <c r="G1096" s="18"/>
    </row>
    <row r="1097" spans="1:7" ht="24" hidden="1">
      <c r="A1097" s="35" t="s">
        <v>49</v>
      </c>
      <c r="B1097" s="51" t="s">
        <v>1969</v>
      </c>
      <c r="C1097" s="15" t="s">
        <v>1648</v>
      </c>
      <c r="D1097" s="15" t="s">
        <v>1624</v>
      </c>
      <c r="E1097" s="15" t="s">
        <v>1008</v>
      </c>
      <c r="F1097" s="24" t="s">
        <v>575</v>
      </c>
      <c r="G1097" s="18">
        <f>G1098</f>
        <v>0</v>
      </c>
    </row>
    <row r="1098" spans="1:7" ht="24" hidden="1">
      <c r="A1098" s="35" t="s">
        <v>700</v>
      </c>
      <c r="B1098" s="51" t="s">
        <v>1969</v>
      </c>
      <c r="C1098" s="15" t="s">
        <v>1648</v>
      </c>
      <c r="D1098" s="15" t="s">
        <v>1624</v>
      </c>
      <c r="E1098" s="15" t="s">
        <v>1008</v>
      </c>
      <c r="F1098" s="24" t="s">
        <v>737</v>
      </c>
      <c r="G1098" s="18"/>
    </row>
    <row r="1099" spans="1:7" ht="18" customHeight="1" hidden="1">
      <c r="A1099" s="35" t="s">
        <v>1995</v>
      </c>
      <c r="B1099" s="51" t="s">
        <v>1969</v>
      </c>
      <c r="C1099" s="15" t="s">
        <v>1648</v>
      </c>
      <c r="D1099" s="15" t="s">
        <v>1624</v>
      </c>
      <c r="E1099" s="15" t="s">
        <v>1996</v>
      </c>
      <c r="F1099" s="24"/>
      <c r="G1099" s="18">
        <f>G1100</f>
        <v>0</v>
      </c>
    </row>
    <row r="1100" spans="1:7" ht="18.75" customHeight="1" hidden="1">
      <c r="A1100" s="178" t="s">
        <v>692</v>
      </c>
      <c r="B1100" s="51" t="s">
        <v>1969</v>
      </c>
      <c r="C1100" s="15" t="s">
        <v>1648</v>
      </c>
      <c r="D1100" s="15" t="s">
        <v>1624</v>
      </c>
      <c r="E1100" s="15" t="s">
        <v>503</v>
      </c>
      <c r="F1100" s="24"/>
      <c r="G1100" s="18">
        <f>G1101</f>
        <v>0</v>
      </c>
    </row>
    <row r="1101" spans="1:7" ht="20.25" customHeight="1" hidden="1">
      <c r="A1101" s="178" t="s">
        <v>595</v>
      </c>
      <c r="B1101" s="51" t="s">
        <v>1969</v>
      </c>
      <c r="C1101" s="15" t="s">
        <v>1648</v>
      </c>
      <c r="D1101" s="15" t="s">
        <v>1624</v>
      </c>
      <c r="E1101" s="15" t="s">
        <v>503</v>
      </c>
      <c r="F1101" s="24" t="s">
        <v>966</v>
      </c>
      <c r="G1101" s="18"/>
    </row>
    <row r="1102" spans="1:7" ht="59.25" customHeight="1" hidden="1">
      <c r="A1102" s="35" t="s">
        <v>433</v>
      </c>
      <c r="B1102" s="51" t="s">
        <v>1969</v>
      </c>
      <c r="C1102" s="15" t="s">
        <v>1648</v>
      </c>
      <c r="D1102" s="15" t="s">
        <v>1624</v>
      </c>
      <c r="E1102" s="15" t="s">
        <v>503</v>
      </c>
      <c r="F1102" s="24" t="s">
        <v>966</v>
      </c>
      <c r="G1102" s="18"/>
    </row>
    <row r="1103" spans="1:7" ht="62.25" customHeight="1" hidden="1">
      <c r="A1103" s="35" t="s">
        <v>286</v>
      </c>
      <c r="B1103" s="51" t="s">
        <v>1969</v>
      </c>
      <c r="C1103" s="15" t="s">
        <v>1648</v>
      </c>
      <c r="D1103" s="15" t="s">
        <v>1624</v>
      </c>
      <c r="E1103" s="15" t="s">
        <v>503</v>
      </c>
      <c r="F1103" s="24" t="s">
        <v>966</v>
      </c>
      <c r="G1103" s="18"/>
    </row>
    <row r="1104" spans="1:7" ht="24.75" customHeight="1" hidden="1">
      <c r="A1104" s="35" t="s">
        <v>876</v>
      </c>
      <c r="B1104" s="51" t="s">
        <v>1969</v>
      </c>
      <c r="C1104" s="24" t="s">
        <v>1648</v>
      </c>
      <c r="D1104" s="24" t="s">
        <v>1624</v>
      </c>
      <c r="E1104" s="15" t="s">
        <v>102</v>
      </c>
      <c r="F1104" s="24"/>
      <c r="G1104" s="18">
        <f>G1105</f>
        <v>0</v>
      </c>
    </row>
    <row r="1105" spans="1:7" ht="27.75" customHeight="1" hidden="1">
      <c r="A1105" s="31" t="s">
        <v>14</v>
      </c>
      <c r="B1105" s="51" t="s">
        <v>1969</v>
      </c>
      <c r="C1105" s="24" t="s">
        <v>1648</v>
      </c>
      <c r="D1105" s="24" t="s">
        <v>1624</v>
      </c>
      <c r="E1105" s="24" t="s">
        <v>15</v>
      </c>
      <c r="F1105" s="24"/>
      <c r="G1105" s="18">
        <f>G1106</f>
        <v>0</v>
      </c>
    </row>
    <row r="1106" spans="1:7" ht="33" customHeight="1" hidden="1">
      <c r="A1106" s="35" t="s">
        <v>1903</v>
      </c>
      <c r="B1106" s="51" t="s">
        <v>1969</v>
      </c>
      <c r="C1106" s="24" t="s">
        <v>1648</v>
      </c>
      <c r="D1106" s="24" t="s">
        <v>1624</v>
      </c>
      <c r="E1106" s="24" t="s">
        <v>15</v>
      </c>
      <c r="F1106" s="24" t="s">
        <v>167</v>
      </c>
      <c r="G1106" s="18">
        <f>42000-42000</f>
        <v>0</v>
      </c>
    </row>
    <row r="1107" spans="1:7" ht="30.75" customHeight="1">
      <c r="A1107" s="167" t="s">
        <v>14</v>
      </c>
      <c r="B1107" s="51" t="s">
        <v>1969</v>
      </c>
      <c r="C1107" s="166" t="s">
        <v>1648</v>
      </c>
      <c r="D1107" s="166" t="s">
        <v>1624</v>
      </c>
      <c r="E1107" s="166" t="s">
        <v>15</v>
      </c>
      <c r="F1107" s="166" t="s">
        <v>575</v>
      </c>
      <c r="G1107" s="18">
        <f>G1108</f>
        <v>103300</v>
      </c>
    </row>
    <row r="1108" spans="1:7" ht="15" customHeight="1">
      <c r="A1108" s="167" t="s">
        <v>867</v>
      </c>
      <c r="B1108" s="51" t="s">
        <v>1969</v>
      </c>
      <c r="C1108" s="166" t="s">
        <v>1648</v>
      </c>
      <c r="D1108" s="166" t="s">
        <v>1624</v>
      </c>
      <c r="E1108" s="166" t="s">
        <v>15</v>
      </c>
      <c r="F1108" s="166" t="s">
        <v>738</v>
      </c>
      <c r="G1108" s="18">
        <f>G1109</f>
        <v>103300</v>
      </c>
    </row>
    <row r="1109" spans="1:7" ht="42" customHeight="1">
      <c r="A1109" s="167" t="s">
        <v>1135</v>
      </c>
      <c r="B1109" s="51" t="s">
        <v>1969</v>
      </c>
      <c r="C1109" s="166" t="s">
        <v>1648</v>
      </c>
      <c r="D1109" s="166" t="s">
        <v>1624</v>
      </c>
      <c r="E1109" s="166" t="s">
        <v>15</v>
      </c>
      <c r="F1109" s="166" t="s">
        <v>1134</v>
      </c>
      <c r="G1109" s="18">
        <f>51650+44714.8-4000+10935.2</f>
        <v>103300</v>
      </c>
    </row>
    <row r="1110" spans="1:7" ht="15">
      <c r="A1110" s="30" t="s">
        <v>755</v>
      </c>
      <c r="B1110" s="51" t="s">
        <v>1969</v>
      </c>
      <c r="C1110" s="24" t="s">
        <v>1648</v>
      </c>
      <c r="D1110" s="24" t="s">
        <v>1624</v>
      </c>
      <c r="E1110" s="24" t="s">
        <v>1372</v>
      </c>
      <c r="F1110" s="24"/>
      <c r="G1110" s="18">
        <f>G1115+G1113+G1111</f>
        <v>10749.7</v>
      </c>
    </row>
    <row r="1111" spans="1:7" ht="36.75" customHeight="1" hidden="1">
      <c r="A1111" s="35" t="s">
        <v>1607</v>
      </c>
      <c r="B1111" s="51" t="s">
        <v>1969</v>
      </c>
      <c r="C1111" s="24" t="s">
        <v>1648</v>
      </c>
      <c r="D1111" s="24" t="s">
        <v>1624</v>
      </c>
      <c r="E1111" s="24" t="s">
        <v>1045</v>
      </c>
      <c r="F1111" s="24" t="s">
        <v>575</v>
      </c>
      <c r="G1111" s="18">
        <f>G1112</f>
        <v>0</v>
      </c>
    </row>
    <row r="1112" spans="1:7" ht="30" customHeight="1" hidden="1">
      <c r="A1112" s="35" t="s">
        <v>42</v>
      </c>
      <c r="B1112" s="51" t="s">
        <v>1969</v>
      </c>
      <c r="C1112" s="24" t="s">
        <v>1648</v>
      </c>
      <c r="D1112" s="24" t="s">
        <v>1624</v>
      </c>
      <c r="E1112" s="24" t="s">
        <v>1045</v>
      </c>
      <c r="F1112" s="24" t="s">
        <v>1366</v>
      </c>
      <c r="G1112" s="18"/>
    </row>
    <row r="1113" spans="1:7" ht="25.5" customHeight="1" hidden="1">
      <c r="A1113" s="168" t="s">
        <v>1047</v>
      </c>
      <c r="B1113" s="51" t="s">
        <v>1969</v>
      </c>
      <c r="C1113" s="24" t="s">
        <v>1648</v>
      </c>
      <c r="D1113" s="24" t="s">
        <v>1624</v>
      </c>
      <c r="E1113" s="24" t="s">
        <v>1048</v>
      </c>
      <c r="F1113" s="15" t="s">
        <v>575</v>
      </c>
      <c r="G1113" s="18">
        <f>G1114</f>
        <v>0</v>
      </c>
    </row>
    <row r="1114" spans="1:7" ht="19.5" customHeight="1" hidden="1">
      <c r="A1114" s="118" t="s">
        <v>766</v>
      </c>
      <c r="B1114" s="51" t="s">
        <v>1969</v>
      </c>
      <c r="C1114" s="24" t="s">
        <v>1648</v>
      </c>
      <c r="D1114" s="24" t="s">
        <v>1624</v>
      </c>
      <c r="E1114" s="24" t="s">
        <v>1048</v>
      </c>
      <c r="F1114" s="15" t="s">
        <v>139</v>
      </c>
      <c r="G1114" s="18"/>
    </row>
    <row r="1115" spans="1:7" ht="24">
      <c r="A1115" s="168" t="s">
        <v>454</v>
      </c>
      <c r="B1115" s="51" t="s">
        <v>1969</v>
      </c>
      <c r="C1115" s="24" t="s">
        <v>1648</v>
      </c>
      <c r="D1115" s="24" t="s">
        <v>1624</v>
      </c>
      <c r="E1115" s="24" t="s">
        <v>227</v>
      </c>
      <c r="F1115" s="15" t="s">
        <v>575</v>
      </c>
      <c r="G1115" s="18">
        <f>G1119+G1120+G1122+G1134+G1135</f>
        <v>10749.7</v>
      </c>
    </row>
    <row r="1116" spans="1:7" ht="21" customHeight="1" hidden="1">
      <c r="A1116" s="168" t="s">
        <v>865</v>
      </c>
      <c r="B1116" s="51" t="s">
        <v>1969</v>
      </c>
      <c r="C1116" s="24" t="s">
        <v>1648</v>
      </c>
      <c r="D1116" s="24" t="s">
        <v>1624</v>
      </c>
      <c r="E1116" s="24" t="s">
        <v>227</v>
      </c>
      <c r="F1116" s="15" t="s">
        <v>1366</v>
      </c>
      <c r="G1116" s="18"/>
    </row>
    <row r="1117" spans="1:7" ht="17.25" customHeight="1" hidden="1">
      <c r="A1117" s="200" t="s">
        <v>845</v>
      </c>
      <c r="B1117" s="51" t="s">
        <v>1969</v>
      </c>
      <c r="C1117" s="24" t="s">
        <v>1648</v>
      </c>
      <c r="D1117" s="24" t="s">
        <v>1624</v>
      </c>
      <c r="E1117" s="24" t="s">
        <v>227</v>
      </c>
      <c r="F1117" s="15" t="s">
        <v>1366</v>
      </c>
      <c r="G1117" s="18"/>
    </row>
    <row r="1118" spans="1:7" ht="22.5" customHeight="1" hidden="1">
      <c r="A1118" s="200" t="s">
        <v>389</v>
      </c>
      <c r="B1118" s="51" t="s">
        <v>1969</v>
      </c>
      <c r="C1118" s="24" t="s">
        <v>1648</v>
      </c>
      <c r="D1118" s="24" t="s">
        <v>1624</v>
      </c>
      <c r="E1118" s="24" t="s">
        <v>227</v>
      </c>
      <c r="F1118" s="15" t="s">
        <v>1366</v>
      </c>
      <c r="G1118" s="18">
        <v>0</v>
      </c>
    </row>
    <row r="1119" spans="1:7" ht="24">
      <c r="A1119" s="200" t="s">
        <v>1019</v>
      </c>
      <c r="B1119" s="51" t="s">
        <v>1969</v>
      </c>
      <c r="C1119" s="24" t="s">
        <v>1648</v>
      </c>
      <c r="D1119" s="24" t="s">
        <v>1624</v>
      </c>
      <c r="E1119" s="24" t="s">
        <v>227</v>
      </c>
      <c r="F1119" s="15" t="s">
        <v>1644</v>
      </c>
      <c r="G1119" s="18">
        <f>G1120+G1121</f>
        <v>10749.7</v>
      </c>
    </row>
    <row r="1120" spans="1:7" ht="24.75" hidden="1">
      <c r="A1120" s="201" t="s">
        <v>95</v>
      </c>
      <c r="B1120" s="51" t="s">
        <v>1969</v>
      </c>
      <c r="C1120" s="24" t="s">
        <v>1648</v>
      </c>
      <c r="D1120" s="24" t="s">
        <v>1624</v>
      </c>
      <c r="E1120" s="24" t="s">
        <v>227</v>
      </c>
      <c r="F1120" s="15" t="s">
        <v>699</v>
      </c>
      <c r="G1120" s="18">
        <v>0</v>
      </c>
    </row>
    <row r="1121" spans="1:7" ht="24">
      <c r="A1121" s="35" t="s">
        <v>1535</v>
      </c>
      <c r="B1121" s="51" t="s">
        <v>1969</v>
      </c>
      <c r="C1121" s="24" t="s">
        <v>1648</v>
      </c>
      <c r="D1121" s="24" t="s">
        <v>1624</v>
      </c>
      <c r="E1121" s="24" t="s">
        <v>227</v>
      </c>
      <c r="F1121" s="15" t="s">
        <v>1536</v>
      </c>
      <c r="G1121" s="18">
        <f>11012.6-580.4+317.4+0.1</f>
        <v>10749.7</v>
      </c>
    </row>
    <row r="1122" spans="1:7" ht="24.75" hidden="1">
      <c r="A1122" s="118" t="s">
        <v>1104</v>
      </c>
      <c r="B1122" s="51" t="s">
        <v>1969</v>
      </c>
      <c r="C1122" s="24" t="s">
        <v>1648</v>
      </c>
      <c r="D1122" s="24" t="s">
        <v>1624</v>
      </c>
      <c r="E1122" s="24" t="s">
        <v>227</v>
      </c>
      <c r="F1122" s="15" t="s">
        <v>139</v>
      </c>
      <c r="G1122" s="18">
        <f>18832-18832</f>
        <v>0</v>
      </c>
    </row>
    <row r="1123" spans="1:7" ht="19.5" customHeight="1" hidden="1">
      <c r="A1123" s="197" t="s">
        <v>1148</v>
      </c>
      <c r="B1123" s="51" t="s">
        <v>1969</v>
      </c>
      <c r="C1123" s="24" t="s">
        <v>1648</v>
      </c>
      <c r="D1123" s="24" t="s">
        <v>1624</v>
      </c>
      <c r="E1123" s="24" t="s">
        <v>1149</v>
      </c>
      <c r="F1123" s="15"/>
      <c r="G1123" s="18">
        <f>G1124+G1126</f>
        <v>0</v>
      </c>
    </row>
    <row r="1124" spans="1:7" ht="71.25" customHeight="1" hidden="1">
      <c r="A1124" s="118" t="s">
        <v>551</v>
      </c>
      <c r="B1124" s="51" t="s">
        <v>1969</v>
      </c>
      <c r="C1124" s="24" t="s">
        <v>1648</v>
      </c>
      <c r="D1124" s="24" t="s">
        <v>1624</v>
      </c>
      <c r="E1124" s="24" t="s">
        <v>965</v>
      </c>
      <c r="F1124" s="15"/>
      <c r="G1124" s="18">
        <f>G1125</f>
        <v>0</v>
      </c>
    </row>
    <row r="1125" spans="1:7" ht="76.5" customHeight="1" hidden="1">
      <c r="A1125" s="118" t="s">
        <v>551</v>
      </c>
      <c r="B1125" s="51" t="s">
        <v>1969</v>
      </c>
      <c r="C1125" s="24" t="s">
        <v>1648</v>
      </c>
      <c r="D1125" s="24" t="s">
        <v>1624</v>
      </c>
      <c r="E1125" s="24" t="s">
        <v>965</v>
      </c>
      <c r="F1125" s="15" t="s">
        <v>553</v>
      </c>
      <c r="G1125" s="18"/>
    </row>
    <row r="1126" spans="1:7" ht="26.25" customHeight="1" hidden="1">
      <c r="A1126" s="197" t="s">
        <v>32</v>
      </c>
      <c r="B1126" s="51" t="s">
        <v>1969</v>
      </c>
      <c r="C1126" s="24" t="s">
        <v>1648</v>
      </c>
      <c r="D1126" s="24" t="s">
        <v>1624</v>
      </c>
      <c r="E1126" s="24" t="s">
        <v>33</v>
      </c>
      <c r="F1126" s="15"/>
      <c r="G1126" s="18">
        <f>G1127</f>
        <v>0</v>
      </c>
    </row>
    <row r="1127" spans="1:7" ht="45.75" customHeight="1" hidden="1">
      <c r="A1127" s="118" t="s">
        <v>877</v>
      </c>
      <c r="B1127" s="51" t="s">
        <v>1969</v>
      </c>
      <c r="C1127" s="24" t="s">
        <v>1648</v>
      </c>
      <c r="D1127" s="24" t="s">
        <v>1624</v>
      </c>
      <c r="E1127" s="24" t="s">
        <v>647</v>
      </c>
      <c r="F1127" s="15"/>
      <c r="G1127" s="18">
        <f>G1128+G1129</f>
        <v>0</v>
      </c>
    </row>
    <row r="1128" spans="1:7" ht="58.5" customHeight="1" hidden="1">
      <c r="A1128" s="118" t="s">
        <v>403</v>
      </c>
      <c r="B1128" s="51" t="s">
        <v>1969</v>
      </c>
      <c r="C1128" s="24" t="s">
        <v>1648</v>
      </c>
      <c r="D1128" s="24" t="s">
        <v>1624</v>
      </c>
      <c r="E1128" s="24" t="s">
        <v>647</v>
      </c>
      <c r="F1128" s="15" t="s">
        <v>648</v>
      </c>
      <c r="G1128" s="18"/>
    </row>
    <row r="1129" spans="1:7" ht="58.5" customHeight="1" hidden="1">
      <c r="A1129" s="118" t="s">
        <v>404</v>
      </c>
      <c r="B1129" s="51" t="s">
        <v>1969</v>
      </c>
      <c r="C1129" s="24" t="s">
        <v>1648</v>
      </c>
      <c r="D1129" s="24" t="s">
        <v>1624</v>
      </c>
      <c r="E1129" s="24" t="s">
        <v>647</v>
      </c>
      <c r="F1129" s="15" t="s">
        <v>966</v>
      </c>
      <c r="G1129" s="18"/>
    </row>
    <row r="1130" spans="1:7" ht="23.25" customHeight="1" hidden="1">
      <c r="A1130" s="197" t="s">
        <v>1664</v>
      </c>
      <c r="B1130" s="51" t="s">
        <v>1969</v>
      </c>
      <c r="C1130" s="24" t="s">
        <v>1648</v>
      </c>
      <c r="D1130" s="24" t="s">
        <v>1624</v>
      </c>
      <c r="E1130" s="24" t="s">
        <v>1663</v>
      </c>
      <c r="F1130" s="24"/>
      <c r="G1130" s="18">
        <f>SUM(G1131:G1131)</f>
        <v>0</v>
      </c>
    </row>
    <row r="1131" spans="1:7" ht="35.25" customHeight="1" hidden="1">
      <c r="A1131" s="168" t="s">
        <v>121</v>
      </c>
      <c r="B1131" s="51" t="s">
        <v>1969</v>
      </c>
      <c r="C1131" s="24" t="s">
        <v>1648</v>
      </c>
      <c r="D1131" s="24" t="s">
        <v>1624</v>
      </c>
      <c r="E1131" s="24" t="s">
        <v>122</v>
      </c>
      <c r="F1131" s="15" t="s">
        <v>575</v>
      </c>
      <c r="G1131" s="18">
        <f>G1133+G1132</f>
        <v>0</v>
      </c>
    </row>
    <row r="1132" spans="1:7" ht="80.25" customHeight="1" hidden="1">
      <c r="A1132" s="142" t="s">
        <v>467</v>
      </c>
      <c r="B1132" s="51" t="s">
        <v>1969</v>
      </c>
      <c r="C1132" s="24" t="s">
        <v>1648</v>
      </c>
      <c r="D1132" s="24" t="s">
        <v>1624</v>
      </c>
      <c r="E1132" s="24" t="s">
        <v>122</v>
      </c>
      <c r="F1132" s="15" t="s">
        <v>648</v>
      </c>
      <c r="G1132" s="18">
        <f>436-156-280</f>
        <v>0</v>
      </c>
    </row>
    <row r="1133" spans="1:7" ht="72.75" customHeight="1" hidden="1">
      <c r="A1133" s="142" t="s">
        <v>456</v>
      </c>
      <c r="B1133" s="51" t="s">
        <v>1969</v>
      </c>
      <c r="C1133" s="24" t="s">
        <v>1648</v>
      </c>
      <c r="D1133" s="24" t="s">
        <v>1624</v>
      </c>
      <c r="E1133" s="24" t="s">
        <v>122</v>
      </c>
      <c r="F1133" s="15" t="s">
        <v>966</v>
      </c>
      <c r="G1133" s="18"/>
    </row>
    <row r="1134" spans="1:7" ht="24.75" hidden="1">
      <c r="A1134" s="35" t="s">
        <v>700</v>
      </c>
      <c r="B1134" s="51" t="s">
        <v>1969</v>
      </c>
      <c r="C1134" s="24" t="s">
        <v>1648</v>
      </c>
      <c r="D1134" s="24" t="s">
        <v>1624</v>
      </c>
      <c r="E1134" s="24" t="s">
        <v>227</v>
      </c>
      <c r="F1134" s="15" t="s">
        <v>737</v>
      </c>
      <c r="G1134" s="18">
        <f>11909.9-300-11609.9</f>
        <v>0</v>
      </c>
    </row>
    <row r="1135" spans="1:7" ht="24.75" hidden="1">
      <c r="A1135" s="35" t="s">
        <v>700</v>
      </c>
      <c r="B1135" s="51" t="s">
        <v>1969</v>
      </c>
      <c r="C1135" s="24" t="s">
        <v>1648</v>
      </c>
      <c r="D1135" s="24" t="s">
        <v>1624</v>
      </c>
      <c r="E1135" s="24" t="s">
        <v>227</v>
      </c>
      <c r="F1135" s="15" t="s">
        <v>737</v>
      </c>
      <c r="G1135" s="18"/>
    </row>
    <row r="1136" spans="1:7" ht="15.75" hidden="1">
      <c r="A1136" s="31" t="s">
        <v>1148</v>
      </c>
      <c r="B1136" s="51" t="s">
        <v>1969</v>
      </c>
      <c r="C1136" s="24" t="s">
        <v>1648</v>
      </c>
      <c r="D1136" s="24" t="s">
        <v>1624</v>
      </c>
      <c r="E1136" s="24" t="s">
        <v>1149</v>
      </c>
      <c r="F1136" s="15"/>
      <c r="G1136" s="18">
        <f>G1137</f>
        <v>0</v>
      </c>
    </row>
    <row r="1137" spans="1:7" ht="36" hidden="1">
      <c r="A1137" s="35" t="s">
        <v>145</v>
      </c>
      <c r="B1137" s="51" t="s">
        <v>1969</v>
      </c>
      <c r="C1137" s="24" t="s">
        <v>1648</v>
      </c>
      <c r="D1137" s="24" t="s">
        <v>1624</v>
      </c>
      <c r="E1137" s="24" t="s">
        <v>143</v>
      </c>
      <c r="F1137" s="15" t="s">
        <v>575</v>
      </c>
      <c r="G1137" s="18">
        <f>G1138</f>
        <v>0</v>
      </c>
    </row>
    <row r="1138" spans="1:7" ht="24.75" hidden="1">
      <c r="A1138" s="35" t="s">
        <v>352</v>
      </c>
      <c r="B1138" s="51" t="s">
        <v>1969</v>
      </c>
      <c r="C1138" s="24" t="s">
        <v>1648</v>
      </c>
      <c r="D1138" s="24" t="s">
        <v>1624</v>
      </c>
      <c r="E1138" s="24" t="s">
        <v>353</v>
      </c>
      <c r="F1138" s="15" t="s">
        <v>575</v>
      </c>
      <c r="G1138" s="18">
        <f>G1139</f>
        <v>0</v>
      </c>
    </row>
    <row r="1139" spans="1:7" ht="24.75" hidden="1">
      <c r="A1139" s="155" t="s">
        <v>95</v>
      </c>
      <c r="B1139" s="51" t="s">
        <v>1969</v>
      </c>
      <c r="C1139" s="24" t="s">
        <v>1648</v>
      </c>
      <c r="D1139" s="24" t="s">
        <v>1624</v>
      </c>
      <c r="E1139" s="24" t="s">
        <v>353</v>
      </c>
      <c r="F1139" s="15" t="s">
        <v>699</v>
      </c>
      <c r="G1139" s="18">
        <f>500-500</f>
        <v>0</v>
      </c>
    </row>
    <row r="1140" spans="1:7" ht="15">
      <c r="A1140" s="197" t="s">
        <v>1664</v>
      </c>
      <c r="B1140" s="51" t="s">
        <v>1969</v>
      </c>
      <c r="C1140" s="15" t="s">
        <v>1648</v>
      </c>
      <c r="D1140" s="15" t="s">
        <v>1624</v>
      </c>
      <c r="E1140" s="24" t="s">
        <v>1663</v>
      </c>
      <c r="F1140" s="15"/>
      <c r="G1140" s="18">
        <f>G1141</f>
        <v>20409.399999999998</v>
      </c>
    </row>
    <row r="1141" spans="1:7" ht="24">
      <c r="A1141" s="35" t="s">
        <v>285</v>
      </c>
      <c r="B1141" s="51" t="s">
        <v>1969</v>
      </c>
      <c r="C1141" s="15" t="s">
        <v>1648</v>
      </c>
      <c r="D1141" s="15" t="s">
        <v>1624</v>
      </c>
      <c r="E1141" s="24" t="s">
        <v>1981</v>
      </c>
      <c r="F1141" s="15" t="s">
        <v>575</v>
      </c>
      <c r="G1141" s="18">
        <f>G1142</f>
        <v>20409.399999999998</v>
      </c>
    </row>
    <row r="1142" spans="1:7" ht="24">
      <c r="A1142" s="35" t="s">
        <v>700</v>
      </c>
      <c r="B1142" s="51" t="s">
        <v>1969</v>
      </c>
      <c r="C1142" s="15" t="s">
        <v>1648</v>
      </c>
      <c r="D1142" s="15" t="s">
        <v>1624</v>
      </c>
      <c r="E1142" s="24" t="s">
        <v>1981</v>
      </c>
      <c r="F1142" s="15" t="s">
        <v>737</v>
      </c>
      <c r="G1142" s="18">
        <f>20000-1201.3+334.8-998.4+998.5+2016.5-740.7</f>
        <v>20409.399999999998</v>
      </c>
    </row>
    <row r="1143" spans="1:7" ht="53.25" customHeight="1">
      <c r="A1143" s="35" t="s">
        <v>194</v>
      </c>
      <c r="B1143" s="51" t="s">
        <v>1969</v>
      </c>
      <c r="C1143" s="15" t="s">
        <v>1648</v>
      </c>
      <c r="D1143" s="15" t="s">
        <v>1624</v>
      </c>
      <c r="E1143" s="24" t="s">
        <v>195</v>
      </c>
      <c r="F1143" s="15" t="s">
        <v>575</v>
      </c>
      <c r="G1143" s="18">
        <f>G1144+G1146</f>
        <v>10652.1</v>
      </c>
    </row>
    <row r="1144" spans="1:7" ht="26.25" customHeight="1">
      <c r="A1144" s="155" t="s">
        <v>172</v>
      </c>
      <c r="B1144" s="51" t="s">
        <v>1969</v>
      </c>
      <c r="C1144" s="15" t="s">
        <v>1648</v>
      </c>
      <c r="D1144" s="15" t="s">
        <v>1624</v>
      </c>
      <c r="E1144" s="24" t="s">
        <v>195</v>
      </c>
      <c r="F1144" s="15" t="s">
        <v>1644</v>
      </c>
      <c r="G1144" s="18">
        <f>G1145</f>
        <v>10652.1</v>
      </c>
    </row>
    <row r="1145" spans="1:7" ht="27.75" customHeight="1">
      <c r="A1145" s="155" t="s">
        <v>95</v>
      </c>
      <c r="B1145" s="51" t="s">
        <v>1969</v>
      </c>
      <c r="C1145" s="15" t="s">
        <v>1648</v>
      </c>
      <c r="D1145" s="15" t="s">
        <v>1624</v>
      </c>
      <c r="E1145" s="24" t="s">
        <v>195</v>
      </c>
      <c r="F1145" s="15" t="s">
        <v>699</v>
      </c>
      <c r="G1145" s="18">
        <v>10652.1</v>
      </c>
    </row>
    <row r="1146" spans="1:7" ht="24" customHeight="1" hidden="1">
      <c r="A1146" s="35" t="s">
        <v>700</v>
      </c>
      <c r="B1146" s="51" t="s">
        <v>1969</v>
      </c>
      <c r="C1146" s="15" t="s">
        <v>1648</v>
      </c>
      <c r="D1146" s="15" t="s">
        <v>1624</v>
      </c>
      <c r="E1146" s="24" t="s">
        <v>195</v>
      </c>
      <c r="F1146" s="15" t="s">
        <v>737</v>
      </c>
      <c r="G1146" s="18">
        <f>10000-998.5-9001.5</f>
        <v>0</v>
      </c>
    </row>
    <row r="1147" spans="1:7" ht="19.5" customHeight="1">
      <c r="A1147" s="29" t="s">
        <v>378</v>
      </c>
      <c r="B1147" s="51" t="s">
        <v>1969</v>
      </c>
      <c r="C1147" s="15" t="s">
        <v>1648</v>
      </c>
      <c r="D1147" s="15" t="s">
        <v>923</v>
      </c>
      <c r="E1147" s="15"/>
      <c r="F1147" s="15"/>
      <c r="G1147" s="18">
        <f>G1148+G1151+G1158+G1161+G1154</f>
        <v>113.2</v>
      </c>
    </row>
    <row r="1148" spans="1:7" ht="19.5" customHeight="1" hidden="1">
      <c r="A1148" s="169" t="s">
        <v>1995</v>
      </c>
      <c r="B1148" s="51" t="s">
        <v>1969</v>
      </c>
      <c r="C1148" s="15" t="s">
        <v>1648</v>
      </c>
      <c r="D1148" s="15" t="s">
        <v>923</v>
      </c>
      <c r="E1148" s="15" t="s">
        <v>1996</v>
      </c>
      <c r="F1148" s="15"/>
      <c r="G1148" s="18">
        <f>G1149</f>
        <v>0</v>
      </c>
    </row>
    <row r="1149" spans="1:7" ht="19.5" customHeight="1" hidden="1">
      <c r="A1149" s="169" t="s">
        <v>502</v>
      </c>
      <c r="B1149" s="51" t="s">
        <v>1969</v>
      </c>
      <c r="C1149" s="15" t="s">
        <v>1648</v>
      </c>
      <c r="D1149" s="15" t="s">
        <v>923</v>
      </c>
      <c r="E1149" s="15" t="s">
        <v>503</v>
      </c>
      <c r="F1149" s="15" t="s">
        <v>575</v>
      </c>
      <c r="G1149" s="18">
        <f>G1150</f>
        <v>0</v>
      </c>
    </row>
    <row r="1150" spans="1:7" ht="19.5" customHeight="1" hidden="1">
      <c r="A1150" s="169" t="s">
        <v>1126</v>
      </c>
      <c r="B1150" s="51" t="s">
        <v>1969</v>
      </c>
      <c r="C1150" s="15" t="s">
        <v>1648</v>
      </c>
      <c r="D1150" s="15" t="s">
        <v>923</v>
      </c>
      <c r="E1150" s="15" t="s">
        <v>503</v>
      </c>
      <c r="F1150" s="15" t="s">
        <v>167</v>
      </c>
      <c r="G1150" s="18"/>
    </row>
    <row r="1151" spans="1:7" ht="19.5" customHeight="1" hidden="1">
      <c r="A1151" s="31" t="s">
        <v>14</v>
      </c>
      <c r="B1151" s="51" t="s">
        <v>1969</v>
      </c>
      <c r="C1151" s="15" t="s">
        <v>1648</v>
      </c>
      <c r="D1151" s="15" t="s">
        <v>923</v>
      </c>
      <c r="E1151" s="15" t="s">
        <v>15</v>
      </c>
      <c r="F1151" s="15"/>
      <c r="G1151" s="18">
        <f>G1152</f>
        <v>0</v>
      </c>
    </row>
    <row r="1152" spans="1:7" ht="19.5" customHeight="1" hidden="1">
      <c r="A1152" s="35" t="s">
        <v>599</v>
      </c>
      <c r="B1152" s="51" t="s">
        <v>1969</v>
      </c>
      <c r="C1152" s="15" t="s">
        <v>1648</v>
      </c>
      <c r="D1152" s="15" t="s">
        <v>923</v>
      </c>
      <c r="E1152" s="15" t="s">
        <v>15</v>
      </c>
      <c r="F1152" s="15" t="s">
        <v>167</v>
      </c>
      <c r="G1152" s="18">
        <f>G1153</f>
        <v>0</v>
      </c>
    </row>
    <row r="1153" spans="1:7" ht="19.5" customHeight="1" hidden="1">
      <c r="A1153" s="35" t="s">
        <v>600</v>
      </c>
      <c r="B1153" s="51" t="s">
        <v>1969</v>
      </c>
      <c r="C1153" s="15" t="s">
        <v>1648</v>
      </c>
      <c r="D1153" s="15" t="s">
        <v>923</v>
      </c>
      <c r="E1153" s="15" t="s">
        <v>15</v>
      </c>
      <c r="F1153" s="15" t="s">
        <v>167</v>
      </c>
      <c r="G1153" s="18">
        <f>16403.4-16403.4</f>
        <v>0</v>
      </c>
    </row>
    <row r="1154" spans="1:7" ht="19.5" customHeight="1" hidden="1">
      <c r="A1154" s="30" t="s">
        <v>1374</v>
      </c>
      <c r="B1154" s="51" t="s">
        <v>1969</v>
      </c>
      <c r="C1154" s="15" t="s">
        <v>1648</v>
      </c>
      <c r="D1154" s="15" t="s">
        <v>923</v>
      </c>
      <c r="E1154" s="15" t="s">
        <v>1375</v>
      </c>
      <c r="F1154" s="15"/>
      <c r="G1154" s="18">
        <f>G1155</f>
        <v>0</v>
      </c>
    </row>
    <row r="1155" spans="1:7" ht="19.5" customHeight="1" hidden="1">
      <c r="A1155" s="168" t="s">
        <v>287</v>
      </c>
      <c r="B1155" s="51" t="s">
        <v>1969</v>
      </c>
      <c r="C1155" s="15" t="s">
        <v>1648</v>
      </c>
      <c r="D1155" s="15" t="s">
        <v>923</v>
      </c>
      <c r="E1155" s="15" t="s">
        <v>1960</v>
      </c>
      <c r="F1155" s="15" t="s">
        <v>575</v>
      </c>
      <c r="G1155" s="18">
        <f>G1156+G1157</f>
        <v>0</v>
      </c>
    </row>
    <row r="1156" spans="1:7" ht="19.5" customHeight="1" hidden="1">
      <c r="A1156" s="168" t="s">
        <v>391</v>
      </c>
      <c r="B1156" s="51" t="s">
        <v>1969</v>
      </c>
      <c r="C1156" s="15" t="s">
        <v>1648</v>
      </c>
      <c r="D1156" s="15" t="s">
        <v>923</v>
      </c>
      <c r="E1156" s="15" t="s">
        <v>1960</v>
      </c>
      <c r="F1156" s="15" t="s">
        <v>1366</v>
      </c>
      <c r="G1156" s="18"/>
    </row>
    <row r="1157" spans="1:7" ht="19.5" customHeight="1" hidden="1">
      <c r="A1157" s="118" t="s">
        <v>1104</v>
      </c>
      <c r="B1157" s="51" t="s">
        <v>1969</v>
      </c>
      <c r="C1157" s="15" t="s">
        <v>1648</v>
      </c>
      <c r="D1157" s="15" t="s">
        <v>923</v>
      </c>
      <c r="E1157" s="15" t="s">
        <v>1960</v>
      </c>
      <c r="F1157" s="15" t="s">
        <v>139</v>
      </c>
      <c r="G1157" s="18"/>
    </row>
    <row r="1158" spans="1:7" ht="19.5" customHeight="1" hidden="1">
      <c r="A1158" s="197" t="s">
        <v>32</v>
      </c>
      <c r="B1158" s="51" t="s">
        <v>1969</v>
      </c>
      <c r="C1158" s="24" t="s">
        <v>1648</v>
      </c>
      <c r="D1158" s="24" t="s">
        <v>923</v>
      </c>
      <c r="E1158" s="24" t="s">
        <v>33</v>
      </c>
      <c r="F1158" s="15"/>
      <c r="G1158" s="18">
        <f>G1159</f>
        <v>0</v>
      </c>
    </row>
    <row r="1159" spans="1:7" ht="51.75" customHeight="1" hidden="1">
      <c r="A1159" s="118" t="s">
        <v>877</v>
      </c>
      <c r="B1159" s="51" t="s">
        <v>1969</v>
      </c>
      <c r="C1159" s="24" t="s">
        <v>1648</v>
      </c>
      <c r="D1159" s="24" t="s">
        <v>923</v>
      </c>
      <c r="E1159" s="24" t="s">
        <v>647</v>
      </c>
      <c r="F1159" s="115"/>
      <c r="G1159" s="18">
        <f>G1160</f>
        <v>0</v>
      </c>
    </row>
    <row r="1160" spans="1:7" ht="50.25" customHeight="1" hidden="1">
      <c r="A1160" s="168" t="s">
        <v>457</v>
      </c>
      <c r="B1160" s="51" t="s">
        <v>1969</v>
      </c>
      <c r="C1160" s="24" t="s">
        <v>1648</v>
      </c>
      <c r="D1160" s="24" t="s">
        <v>923</v>
      </c>
      <c r="E1160" s="24" t="s">
        <v>647</v>
      </c>
      <c r="F1160" s="15" t="s">
        <v>458</v>
      </c>
      <c r="G1160" s="18"/>
    </row>
    <row r="1161" spans="1:7" ht="19.5" customHeight="1">
      <c r="A1161" s="197" t="s">
        <v>1664</v>
      </c>
      <c r="B1161" s="51" t="s">
        <v>1969</v>
      </c>
      <c r="C1161" s="15" t="s">
        <v>1648</v>
      </c>
      <c r="D1161" s="15" t="s">
        <v>923</v>
      </c>
      <c r="E1161" s="24" t="s">
        <v>1663</v>
      </c>
      <c r="F1161" s="24"/>
      <c r="G1161" s="18">
        <f>G1162+G1168</f>
        <v>113.2</v>
      </c>
    </row>
    <row r="1162" spans="1:7" ht="30" customHeight="1">
      <c r="A1162" s="168" t="s">
        <v>1191</v>
      </c>
      <c r="B1162" s="51" t="s">
        <v>1969</v>
      </c>
      <c r="C1162" s="15" t="s">
        <v>1648</v>
      </c>
      <c r="D1162" s="15" t="s">
        <v>923</v>
      </c>
      <c r="E1162" s="24" t="s">
        <v>484</v>
      </c>
      <c r="F1162" s="15" t="s">
        <v>575</v>
      </c>
      <c r="G1162" s="18">
        <f>G1163+G1164</f>
        <v>113.2</v>
      </c>
    </row>
    <row r="1163" spans="1:7" ht="27.75" customHeight="1" hidden="1">
      <c r="A1163" s="200" t="s">
        <v>424</v>
      </c>
      <c r="B1163" s="51" t="s">
        <v>1969</v>
      </c>
      <c r="C1163" s="15" t="s">
        <v>1648</v>
      </c>
      <c r="D1163" s="15" t="s">
        <v>923</v>
      </c>
      <c r="E1163" s="24" t="s">
        <v>484</v>
      </c>
      <c r="F1163" s="15" t="s">
        <v>1366</v>
      </c>
      <c r="G1163" s="18"/>
    </row>
    <row r="1164" spans="1:7" ht="32.25" customHeight="1">
      <c r="A1164" s="200" t="s">
        <v>425</v>
      </c>
      <c r="B1164" s="51" t="s">
        <v>1969</v>
      </c>
      <c r="C1164" s="15" t="s">
        <v>1648</v>
      </c>
      <c r="D1164" s="15" t="s">
        <v>923</v>
      </c>
      <c r="E1164" s="24" t="s">
        <v>484</v>
      </c>
      <c r="F1164" s="15" t="s">
        <v>737</v>
      </c>
      <c r="G1164" s="18">
        <v>113.2</v>
      </c>
    </row>
    <row r="1165" spans="1:7" ht="19.5" customHeight="1" hidden="1">
      <c r="A1165" s="168" t="s">
        <v>123</v>
      </c>
      <c r="B1165" s="51" t="s">
        <v>1969</v>
      </c>
      <c r="C1165" s="15" t="s">
        <v>1648</v>
      </c>
      <c r="D1165" s="15" t="s">
        <v>923</v>
      </c>
      <c r="E1165" s="24" t="s">
        <v>1049</v>
      </c>
      <c r="F1165" s="15" t="s">
        <v>1366</v>
      </c>
      <c r="G1165" s="18"/>
    </row>
    <row r="1166" spans="1:7" ht="19.5" customHeight="1" hidden="1">
      <c r="A1166" s="168" t="s">
        <v>124</v>
      </c>
      <c r="B1166" s="51" t="s">
        <v>1969</v>
      </c>
      <c r="C1166" s="15" t="s">
        <v>1648</v>
      </c>
      <c r="D1166" s="15" t="s">
        <v>923</v>
      </c>
      <c r="E1166" s="24" t="s">
        <v>1049</v>
      </c>
      <c r="F1166" s="15" t="s">
        <v>1366</v>
      </c>
      <c r="G1166" s="18"/>
    </row>
    <row r="1167" spans="1:7" ht="19.5" customHeight="1" hidden="1">
      <c r="A1167" s="168" t="s">
        <v>866</v>
      </c>
      <c r="B1167" s="51" t="s">
        <v>1969</v>
      </c>
      <c r="C1167" s="15" t="s">
        <v>1648</v>
      </c>
      <c r="D1167" s="15" t="s">
        <v>923</v>
      </c>
      <c r="E1167" s="24" t="s">
        <v>1049</v>
      </c>
      <c r="F1167" s="15" t="s">
        <v>1366</v>
      </c>
      <c r="G1167" s="18"/>
    </row>
    <row r="1168" spans="1:7" ht="19.5" customHeight="1" hidden="1">
      <c r="A1168" s="200" t="s">
        <v>510</v>
      </c>
      <c r="B1168" s="51" t="s">
        <v>1969</v>
      </c>
      <c r="C1168" s="15" t="s">
        <v>1648</v>
      </c>
      <c r="D1168" s="15" t="s">
        <v>923</v>
      </c>
      <c r="E1168" s="24" t="s">
        <v>153</v>
      </c>
      <c r="F1168" s="15" t="s">
        <v>575</v>
      </c>
      <c r="G1168" s="18">
        <f>G1169</f>
        <v>0</v>
      </c>
    </row>
    <row r="1169" spans="1:7" ht="19.5" customHeight="1" hidden="1">
      <c r="A1169" s="35" t="s">
        <v>700</v>
      </c>
      <c r="B1169" s="51" t="s">
        <v>1969</v>
      </c>
      <c r="C1169" s="15" t="s">
        <v>1648</v>
      </c>
      <c r="D1169" s="15" t="s">
        <v>923</v>
      </c>
      <c r="E1169" s="24" t="s">
        <v>153</v>
      </c>
      <c r="F1169" s="15" t="s">
        <v>737</v>
      </c>
      <c r="G1169" s="18"/>
    </row>
    <row r="1170" spans="1:7" ht="19.5" customHeight="1">
      <c r="A1170" s="202" t="s">
        <v>887</v>
      </c>
      <c r="B1170" s="51" t="s">
        <v>1969</v>
      </c>
      <c r="C1170" s="15" t="s">
        <v>1648</v>
      </c>
      <c r="D1170" s="15" t="s">
        <v>1653</v>
      </c>
      <c r="E1170" s="24"/>
      <c r="F1170" s="15"/>
      <c r="G1170" s="18">
        <f>G1171+G1174+G1179+G1201</f>
        <v>194791.9</v>
      </c>
    </row>
    <row r="1171" spans="1:7" ht="24" hidden="1">
      <c r="A1171" s="31" t="s">
        <v>876</v>
      </c>
      <c r="B1171" s="51" t="s">
        <v>1969</v>
      </c>
      <c r="C1171" s="24" t="s">
        <v>1648</v>
      </c>
      <c r="D1171" s="24" t="s">
        <v>1653</v>
      </c>
      <c r="E1171" s="15" t="s">
        <v>102</v>
      </c>
      <c r="F1171" s="24"/>
      <c r="G1171" s="18">
        <f>G1172</f>
        <v>0</v>
      </c>
    </row>
    <row r="1172" spans="1:7" ht="24" hidden="1">
      <c r="A1172" s="35" t="s">
        <v>14</v>
      </c>
      <c r="B1172" s="51" t="s">
        <v>1969</v>
      </c>
      <c r="C1172" s="24" t="s">
        <v>1648</v>
      </c>
      <c r="D1172" s="24" t="s">
        <v>1653</v>
      </c>
      <c r="E1172" s="24" t="s">
        <v>15</v>
      </c>
      <c r="F1172" s="24" t="s">
        <v>575</v>
      </c>
      <c r="G1172" s="18">
        <f>G1173</f>
        <v>0</v>
      </c>
    </row>
    <row r="1173" spans="1:7" ht="15.75" hidden="1">
      <c r="A1173" s="35" t="s">
        <v>829</v>
      </c>
      <c r="B1173" s="51" t="s">
        <v>1969</v>
      </c>
      <c r="C1173" s="24" t="s">
        <v>1648</v>
      </c>
      <c r="D1173" s="24" t="s">
        <v>1653</v>
      </c>
      <c r="E1173" s="24" t="s">
        <v>15</v>
      </c>
      <c r="F1173" s="24" t="s">
        <v>167</v>
      </c>
      <c r="G1173" s="18"/>
    </row>
    <row r="1174" spans="1:7" ht="15">
      <c r="A1174" s="31" t="s">
        <v>1148</v>
      </c>
      <c r="B1174" s="51" t="s">
        <v>1969</v>
      </c>
      <c r="C1174" s="24" t="s">
        <v>1648</v>
      </c>
      <c r="D1174" s="24" t="s">
        <v>1653</v>
      </c>
      <c r="E1174" s="24" t="s">
        <v>1149</v>
      </c>
      <c r="F1174" s="15"/>
      <c r="G1174" s="18">
        <f>G1175</f>
        <v>1200</v>
      </c>
    </row>
    <row r="1175" spans="1:7" ht="36">
      <c r="A1175" s="35" t="s">
        <v>145</v>
      </c>
      <c r="B1175" s="51" t="s">
        <v>1969</v>
      </c>
      <c r="C1175" s="24" t="s">
        <v>1648</v>
      </c>
      <c r="D1175" s="24" t="s">
        <v>1653</v>
      </c>
      <c r="E1175" s="24" t="s">
        <v>143</v>
      </c>
      <c r="F1175" s="15" t="s">
        <v>575</v>
      </c>
      <c r="G1175" s="18">
        <f>G1176</f>
        <v>1200</v>
      </c>
    </row>
    <row r="1176" spans="1:7" ht="24">
      <c r="A1176" s="35" t="s">
        <v>352</v>
      </c>
      <c r="B1176" s="51" t="s">
        <v>1969</v>
      </c>
      <c r="C1176" s="24" t="s">
        <v>1648</v>
      </c>
      <c r="D1176" s="24" t="s">
        <v>1653</v>
      </c>
      <c r="E1176" s="24" t="s">
        <v>353</v>
      </c>
      <c r="F1176" s="15" t="s">
        <v>575</v>
      </c>
      <c r="G1176" s="18">
        <f>G1177+G1178</f>
        <v>1200</v>
      </c>
    </row>
    <row r="1177" spans="1:7" ht="24">
      <c r="A1177" s="155" t="s">
        <v>95</v>
      </c>
      <c r="B1177" s="51" t="s">
        <v>1969</v>
      </c>
      <c r="C1177" s="24" t="s">
        <v>1648</v>
      </c>
      <c r="D1177" s="24" t="s">
        <v>1653</v>
      </c>
      <c r="E1177" s="24" t="s">
        <v>353</v>
      </c>
      <c r="F1177" s="15" t="s">
        <v>699</v>
      </c>
      <c r="G1177" s="18">
        <v>300</v>
      </c>
    </row>
    <row r="1178" spans="1:7" ht="24">
      <c r="A1178" s="35" t="s">
        <v>1535</v>
      </c>
      <c r="B1178" s="51" t="s">
        <v>1969</v>
      </c>
      <c r="C1178" s="24" t="s">
        <v>1648</v>
      </c>
      <c r="D1178" s="24" t="s">
        <v>1653</v>
      </c>
      <c r="E1178" s="24" t="s">
        <v>353</v>
      </c>
      <c r="F1178" s="15" t="s">
        <v>1536</v>
      </c>
      <c r="G1178" s="18">
        <v>900</v>
      </c>
    </row>
    <row r="1179" spans="1:7" ht="15">
      <c r="A1179" s="31" t="s">
        <v>887</v>
      </c>
      <c r="B1179" s="51" t="s">
        <v>1969</v>
      </c>
      <c r="C1179" s="15" t="s">
        <v>1648</v>
      </c>
      <c r="D1179" s="15" t="s">
        <v>1653</v>
      </c>
      <c r="E1179" s="15" t="s">
        <v>886</v>
      </c>
      <c r="F1179" s="15"/>
      <c r="G1179" s="18">
        <f>G1180+G1186+G1183+G1191</f>
        <v>180856.3</v>
      </c>
    </row>
    <row r="1180" spans="1:7" ht="24">
      <c r="A1180" s="16" t="s">
        <v>888</v>
      </c>
      <c r="B1180" s="51" t="s">
        <v>1969</v>
      </c>
      <c r="C1180" s="15" t="s">
        <v>1648</v>
      </c>
      <c r="D1180" s="15" t="s">
        <v>1653</v>
      </c>
      <c r="E1180" s="15" t="s">
        <v>1556</v>
      </c>
      <c r="F1180" s="15" t="s">
        <v>575</v>
      </c>
      <c r="G1180" s="18">
        <f>G1181</f>
        <v>84848</v>
      </c>
    </row>
    <row r="1181" spans="1:7" ht="24">
      <c r="A1181" s="35" t="s">
        <v>528</v>
      </c>
      <c r="B1181" s="51" t="s">
        <v>1969</v>
      </c>
      <c r="C1181" s="15" t="s">
        <v>1648</v>
      </c>
      <c r="D1181" s="15" t="s">
        <v>1653</v>
      </c>
      <c r="E1181" s="15" t="s">
        <v>1556</v>
      </c>
      <c r="F1181" s="15" t="s">
        <v>1644</v>
      </c>
      <c r="G1181" s="18">
        <f>G1182</f>
        <v>84848</v>
      </c>
    </row>
    <row r="1182" spans="1:7" ht="24">
      <c r="A1182" s="35" t="s">
        <v>1535</v>
      </c>
      <c r="B1182" s="51" t="s">
        <v>1969</v>
      </c>
      <c r="C1182" s="15" t="s">
        <v>1648</v>
      </c>
      <c r="D1182" s="15" t="s">
        <v>1653</v>
      </c>
      <c r="E1182" s="15" t="s">
        <v>1556</v>
      </c>
      <c r="F1182" s="15" t="s">
        <v>1536</v>
      </c>
      <c r="G1182" s="18">
        <v>84848</v>
      </c>
    </row>
    <row r="1183" spans="1:7" ht="36">
      <c r="A1183" s="35" t="s">
        <v>561</v>
      </c>
      <c r="B1183" s="51" t="s">
        <v>1969</v>
      </c>
      <c r="C1183" s="15" t="s">
        <v>1648</v>
      </c>
      <c r="D1183" s="15" t="s">
        <v>1653</v>
      </c>
      <c r="E1183" s="15" t="s">
        <v>1176</v>
      </c>
      <c r="F1183" s="15" t="s">
        <v>575</v>
      </c>
      <c r="G1183" s="18">
        <f>G1184</f>
        <v>20309.7</v>
      </c>
    </row>
    <row r="1184" spans="1:7" ht="24">
      <c r="A1184" s="16" t="s">
        <v>270</v>
      </c>
      <c r="B1184" s="51" t="s">
        <v>1969</v>
      </c>
      <c r="C1184" s="15" t="s">
        <v>1648</v>
      </c>
      <c r="D1184" s="15" t="s">
        <v>1653</v>
      </c>
      <c r="E1184" s="15" t="s">
        <v>1176</v>
      </c>
      <c r="F1184" s="15" t="s">
        <v>271</v>
      </c>
      <c r="G1184" s="18">
        <f>G1185</f>
        <v>20309.7</v>
      </c>
    </row>
    <row r="1185" spans="1:7" ht="24">
      <c r="A1185" s="16" t="s">
        <v>269</v>
      </c>
      <c r="B1185" s="51" t="s">
        <v>1969</v>
      </c>
      <c r="C1185" s="15" t="s">
        <v>1648</v>
      </c>
      <c r="D1185" s="15" t="s">
        <v>1653</v>
      </c>
      <c r="E1185" s="15" t="s">
        <v>1176</v>
      </c>
      <c r="F1185" s="15" t="s">
        <v>570</v>
      </c>
      <c r="G1185" s="18">
        <v>20309.7</v>
      </c>
    </row>
    <row r="1186" spans="1:7" ht="24">
      <c r="A1186" s="35" t="s">
        <v>1192</v>
      </c>
      <c r="B1186" s="51" t="s">
        <v>1969</v>
      </c>
      <c r="C1186" s="15" t="s">
        <v>1648</v>
      </c>
      <c r="D1186" s="15" t="s">
        <v>1653</v>
      </c>
      <c r="E1186" s="15" t="s">
        <v>1557</v>
      </c>
      <c r="F1186" s="15" t="s">
        <v>575</v>
      </c>
      <c r="G1186" s="18">
        <f>G1187</f>
        <v>14010.6</v>
      </c>
    </row>
    <row r="1187" spans="1:7" ht="24">
      <c r="A1187" s="16" t="s">
        <v>270</v>
      </c>
      <c r="B1187" s="51" t="s">
        <v>1969</v>
      </c>
      <c r="C1187" s="15" t="s">
        <v>1648</v>
      </c>
      <c r="D1187" s="15" t="s">
        <v>1653</v>
      </c>
      <c r="E1187" s="15" t="s">
        <v>1557</v>
      </c>
      <c r="F1187" s="15" t="s">
        <v>271</v>
      </c>
      <c r="G1187" s="18">
        <f>G1188+G1189</f>
        <v>14010.6</v>
      </c>
    </row>
    <row r="1188" spans="1:7" ht="24">
      <c r="A1188" s="16" t="s">
        <v>269</v>
      </c>
      <c r="B1188" s="51" t="s">
        <v>1969</v>
      </c>
      <c r="C1188" s="15" t="s">
        <v>1648</v>
      </c>
      <c r="D1188" s="15" t="s">
        <v>1653</v>
      </c>
      <c r="E1188" s="15" t="s">
        <v>1557</v>
      </c>
      <c r="F1188" s="15" t="s">
        <v>570</v>
      </c>
      <c r="G1188" s="18">
        <v>14000</v>
      </c>
    </row>
    <row r="1189" spans="1:7" ht="24">
      <c r="A1189" s="16" t="s">
        <v>1997</v>
      </c>
      <c r="B1189" s="51" t="s">
        <v>1969</v>
      </c>
      <c r="C1189" s="15" t="s">
        <v>1648</v>
      </c>
      <c r="D1189" s="15" t="s">
        <v>1653</v>
      </c>
      <c r="E1189" s="15" t="s">
        <v>1557</v>
      </c>
      <c r="F1189" s="15" t="s">
        <v>180</v>
      </c>
      <c r="G1189" s="18">
        <f>G1190</f>
        <v>10.6</v>
      </c>
    </row>
    <row r="1190" spans="1:7" ht="24">
      <c r="A1190" s="16" t="s">
        <v>779</v>
      </c>
      <c r="B1190" s="51" t="s">
        <v>1969</v>
      </c>
      <c r="C1190" s="15" t="s">
        <v>1648</v>
      </c>
      <c r="D1190" s="15" t="s">
        <v>1653</v>
      </c>
      <c r="E1190" s="15" t="s">
        <v>1557</v>
      </c>
      <c r="F1190" s="15" t="s">
        <v>180</v>
      </c>
      <c r="G1190" s="18">
        <v>10.6</v>
      </c>
    </row>
    <row r="1191" spans="1:7" ht="24">
      <c r="A1191" s="35" t="s">
        <v>2018</v>
      </c>
      <c r="B1191" s="51" t="s">
        <v>1969</v>
      </c>
      <c r="C1191" s="15" t="s">
        <v>1648</v>
      </c>
      <c r="D1191" s="15" t="s">
        <v>1653</v>
      </c>
      <c r="E1191" s="15" t="s">
        <v>2019</v>
      </c>
      <c r="F1191" s="15" t="s">
        <v>575</v>
      </c>
      <c r="G1191" s="18">
        <f>G1192+G1193+G1194</f>
        <v>61687.99999999999</v>
      </c>
    </row>
    <row r="1192" spans="1:7" ht="24">
      <c r="A1192" s="16" t="s">
        <v>884</v>
      </c>
      <c r="B1192" s="51" t="s">
        <v>1969</v>
      </c>
      <c r="C1192" s="15" t="s">
        <v>1648</v>
      </c>
      <c r="D1192" s="15" t="s">
        <v>1653</v>
      </c>
      <c r="E1192" s="15" t="s">
        <v>2019</v>
      </c>
      <c r="F1192" s="15" t="s">
        <v>699</v>
      </c>
      <c r="G1192" s="18">
        <f>4118.5+90.1</f>
        <v>4208.6</v>
      </c>
    </row>
    <row r="1193" spans="1:7" ht="24.75" hidden="1">
      <c r="A1193" s="35" t="s">
        <v>1535</v>
      </c>
      <c r="B1193" s="51" t="s">
        <v>1969</v>
      </c>
      <c r="C1193" s="15" t="s">
        <v>1648</v>
      </c>
      <c r="D1193" s="15" t="s">
        <v>1653</v>
      </c>
      <c r="E1193" s="15" t="s">
        <v>2019</v>
      </c>
      <c r="F1193" s="15" t="s">
        <v>1536</v>
      </c>
      <c r="G1193" s="18">
        <f>1942-1942</f>
        <v>0</v>
      </c>
    </row>
    <row r="1194" spans="1:7" ht="24">
      <c r="A1194" s="16" t="s">
        <v>270</v>
      </c>
      <c r="B1194" s="51" t="s">
        <v>1969</v>
      </c>
      <c r="C1194" s="15" t="s">
        <v>1648</v>
      </c>
      <c r="D1194" s="15" t="s">
        <v>1653</v>
      </c>
      <c r="E1194" s="15" t="s">
        <v>2019</v>
      </c>
      <c r="F1194" s="15" t="s">
        <v>271</v>
      </c>
      <c r="G1194" s="18">
        <f>G1195+G1196</f>
        <v>57479.399999999994</v>
      </c>
    </row>
    <row r="1195" spans="1:7" ht="23.25" customHeight="1">
      <c r="A1195" s="16" t="s">
        <v>269</v>
      </c>
      <c r="B1195" s="51" t="s">
        <v>1969</v>
      </c>
      <c r="C1195" s="15" t="s">
        <v>1648</v>
      </c>
      <c r="D1195" s="15" t="s">
        <v>1653</v>
      </c>
      <c r="E1195" s="15" t="s">
        <v>2019</v>
      </c>
      <c r="F1195" s="15" t="s">
        <v>570</v>
      </c>
      <c r="G1195" s="18">
        <f>45710.1+283+136.5</f>
        <v>46129.6</v>
      </c>
    </row>
    <row r="1196" spans="1:7" ht="24">
      <c r="A1196" s="16" t="s">
        <v>1997</v>
      </c>
      <c r="B1196" s="51" t="s">
        <v>1969</v>
      </c>
      <c r="C1196" s="15" t="s">
        <v>1648</v>
      </c>
      <c r="D1196" s="15" t="s">
        <v>1653</v>
      </c>
      <c r="E1196" s="15" t="s">
        <v>2019</v>
      </c>
      <c r="F1196" s="15" t="s">
        <v>180</v>
      </c>
      <c r="G1196" s="18">
        <f>G1197+G1198+G1199+G1200</f>
        <v>11349.8</v>
      </c>
    </row>
    <row r="1197" spans="1:7" ht="24">
      <c r="A1197" s="16" t="s">
        <v>128</v>
      </c>
      <c r="B1197" s="51" t="s">
        <v>1969</v>
      </c>
      <c r="C1197" s="15" t="s">
        <v>1648</v>
      </c>
      <c r="D1197" s="15" t="s">
        <v>1653</v>
      </c>
      <c r="E1197" s="15" t="s">
        <v>2019</v>
      </c>
      <c r="F1197" s="15" t="s">
        <v>180</v>
      </c>
      <c r="G1197" s="18">
        <f>4100+1040</f>
        <v>5140</v>
      </c>
    </row>
    <row r="1198" spans="1:7" ht="24">
      <c r="A1198" s="16" t="s">
        <v>1987</v>
      </c>
      <c r="B1198" s="51" t="s">
        <v>1969</v>
      </c>
      <c r="C1198" s="15" t="s">
        <v>1648</v>
      </c>
      <c r="D1198" s="15" t="s">
        <v>1653</v>
      </c>
      <c r="E1198" s="15" t="s">
        <v>2019</v>
      </c>
      <c r="F1198" s="15" t="s">
        <v>180</v>
      </c>
      <c r="G1198" s="18">
        <v>3600</v>
      </c>
    </row>
    <row r="1199" spans="1:7" ht="24">
      <c r="A1199" s="16" t="s">
        <v>328</v>
      </c>
      <c r="B1199" s="51" t="s">
        <v>1969</v>
      </c>
      <c r="C1199" s="15" t="s">
        <v>1648</v>
      </c>
      <c r="D1199" s="15" t="s">
        <v>1653</v>
      </c>
      <c r="E1199" s="15" t="s">
        <v>2019</v>
      </c>
      <c r="F1199" s="15" t="s">
        <v>180</v>
      </c>
      <c r="G1199" s="18">
        <v>129</v>
      </c>
    </row>
    <row r="1200" spans="1:7" ht="36">
      <c r="A1200" s="16" t="s">
        <v>1504</v>
      </c>
      <c r="B1200" s="51" t="s">
        <v>1969</v>
      </c>
      <c r="C1200" s="15" t="s">
        <v>1648</v>
      </c>
      <c r="D1200" s="15" t="s">
        <v>1653</v>
      </c>
      <c r="E1200" s="15" t="s">
        <v>2019</v>
      </c>
      <c r="F1200" s="15" t="s">
        <v>180</v>
      </c>
      <c r="G1200" s="18">
        <v>2480.8</v>
      </c>
    </row>
    <row r="1201" spans="1:7" ht="15">
      <c r="A1201" s="197" t="s">
        <v>1664</v>
      </c>
      <c r="B1201" s="51" t="s">
        <v>1969</v>
      </c>
      <c r="C1201" s="15" t="s">
        <v>1648</v>
      </c>
      <c r="D1201" s="15" t="s">
        <v>1653</v>
      </c>
      <c r="E1201" s="15" t="s">
        <v>1663</v>
      </c>
      <c r="F1201" s="15"/>
      <c r="G1201" s="18">
        <f>G1202</f>
        <v>12735.6</v>
      </c>
    </row>
    <row r="1202" spans="1:7" ht="28.5" customHeight="1">
      <c r="A1202" s="118" t="s">
        <v>399</v>
      </c>
      <c r="B1202" s="51" t="s">
        <v>1969</v>
      </c>
      <c r="C1202" s="15" t="s">
        <v>1648</v>
      </c>
      <c r="D1202" s="15" t="s">
        <v>1653</v>
      </c>
      <c r="E1202" s="15" t="s">
        <v>400</v>
      </c>
      <c r="F1202" s="15" t="s">
        <v>575</v>
      </c>
      <c r="G1202" s="18">
        <f>G1203+G1204</f>
        <v>12735.6</v>
      </c>
    </row>
    <row r="1203" spans="1:7" ht="28.5" customHeight="1" hidden="1">
      <c r="A1203" s="16" t="s">
        <v>884</v>
      </c>
      <c r="B1203" s="51" t="s">
        <v>1969</v>
      </c>
      <c r="C1203" s="15" t="s">
        <v>1648</v>
      </c>
      <c r="D1203" s="15" t="s">
        <v>1653</v>
      </c>
      <c r="E1203" s="15" t="s">
        <v>400</v>
      </c>
      <c r="F1203" s="15" t="s">
        <v>699</v>
      </c>
      <c r="G1203" s="18"/>
    </row>
    <row r="1204" spans="1:7" ht="15.75" customHeight="1">
      <c r="A1204" s="35" t="s">
        <v>1535</v>
      </c>
      <c r="B1204" s="51" t="s">
        <v>1969</v>
      </c>
      <c r="C1204" s="15" t="s">
        <v>1648</v>
      </c>
      <c r="D1204" s="15" t="s">
        <v>1653</v>
      </c>
      <c r="E1204" s="15" t="s">
        <v>400</v>
      </c>
      <c r="F1204" s="15" t="s">
        <v>1536</v>
      </c>
      <c r="G1204" s="18">
        <v>12735.6</v>
      </c>
    </row>
    <row r="1205" spans="1:7" ht="19.5" customHeight="1">
      <c r="A1205" s="59" t="s">
        <v>2003</v>
      </c>
      <c r="B1205" s="51" t="s">
        <v>1969</v>
      </c>
      <c r="C1205" s="25" t="s">
        <v>1647</v>
      </c>
      <c r="D1205" s="25"/>
      <c r="E1205" s="15"/>
      <c r="F1205" s="25"/>
      <c r="G1205" s="18">
        <f>G1206</f>
        <v>2200</v>
      </c>
    </row>
    <row r="1206" spans="1:7" ht="24">
      <c r="A1206" s="29" t="s">
        <v>1630</v>
      </c>
      <c r="B1206" s="51" t="s">
        <v>1969</v>
      </c>
      <c r="C1206" s="25" t="s">
        <v>1647</v>
      </c>
      <c r="D1206" s="25" t="s">
        <v>1653</v>
      </c>
      <c r="E1206" s="15"/>
      <c r="F1206" s="25"/>
      <c r="G1206" s="18">
        <f>G1207</f>
        <v>2200</v>
      </c>
    </row>
    <row r="1207" spans="1:7" ht="15">
      <c r="A1207" s="30" t="s">
        <v>900</v>
      </c>
      <c r="B1207" s="51" t="s">
        <v>1969</v>
      </c>
      <c r="C1207" s="25" t="s">
        <v>1647</v>
      </c>
      <c r="D1207" s="25" t="s">
        <v>1653</v>
      </c>
      <c r="E1207" s="15" t="s">
        <v>1657</v>
      </c>
      <c r="F1207" s="25"/>
      <c r="G1207" s="18">
        <f>G1208</f>
        <v>2200</v>
      </c>
    </row>
    <row r="1208" spans="1:7" ht="24">
      <c r="A1208" s="16" t="s">
        <v>1962</v>
      </c>
      <c r="B1208" s="51" t="s">
        <v>1969</v>
      </c>
      <c r="C1208" s="25" t="s">
        <v>1647</v>
      </c>
      <c r="D1208" s="25" t="s">
        <v>1653</v>
      </c>
      <c r="E1208" s="15" t="s">
        <v>1054</v>
      </c>
      <c r="F1208" s="15" t="s">
        <v>575</v>
      </c>
      <c r="G1208" s="18">
        <f>G1209+G1211</f>
        <v>2200</v>
      </c>
    </row>
    <row r="1209" spans="1:7" ht="15.75" customHeight="1">
      <c r="A1209" s="35" t="s">
        <v>528</v>
      </c>
      <c r="B1209" s="51" t="s">
        <v>1969</v>
      </c>
      <c r="C1209" s="15" t="s">
        <v>1647</v>
      </c>
      <c r="D1209" s="15" t="s">
        <v>1653</v>
      </c>
      <c r="E1209" s="15" t="s">
        <v>1054</v>
      </c>
      <c r="F1209" s="15" t="s">
        <v>1644</v>
      </c>
      <c r="G1209" s="18">
        <f>G1210</f>
        <v>2000</v>
      </c>
    </row>
    <row r="1210" spans="1:7" ht="15.75" customHeight="1">
      <c r="A1210" s="35" t="s">
        <v>1535</v>
      </c>
      <c r="B1210" s="51" t="s">
        <v>1969</v>
      </c>
      <c r="C1210" s="15" t="s">
        <v>1647</v>
      </c>
      <c r="D1210" s="15" t="s">
        <v>1653</v>
      </c>
      <c r="E1210" s="15" t="s">
        <v>1054</v>
      </c>
      <c r="F1210" s="15" t="s">
        <v>1536</v>
      </c>
      <c r="G1210" s="18">
        <v>2000</v>
      </c>
    </row>
    <row r="1211" spans="1:7" ht="15.75" customHeight="1">
      <c r="A1211" s="16" t="s">
        <v>1977</v>
      </c>
      <c r="B1211" s="51" t="s">
        <v>1969</v>
      </c>
      <c r="C1211" s="15" t="s">
        <v>1647</v>
      </c>
      <c r="D1211" s="15" t="s">
        <v>1653</v>
      </c>
      <c r="E1211" s="15" t="s">
        <v>1054</v>
      </c>
      <c r="F1211" s="15" t="s">
        <v>1978</v>
      </c>
      <c r="G1211" s="18">
        <v>200</v>
      </c>
    </row>
    <row r="1212" spans="1:7" ht="19.5" customHeight="1" hidden="1">
      <c r="A1212" s="54" t="s">
        <v>440</v>
      </c>
      <c r="B1212" s="51" t="s">
        <v>1969</v>
      </c>
      <c r="C1212" s="15" t="s">
        <v>1651</v>
      </c>
      <c r="D1212" s="39"/>
      <c r="E1212" s="39"/>
      <c r="F1212" s="39"/>
      <c r="G1212" s="18">
        <f>G1213</f>
        <v>0</v>
      </c>
    </row>
    <row r="1213" spans="1:7" ht="24.75" customHeight="1" hidden="1">
      <c r="A1213" s="29" t="s">
        <v>220</v>
      </c>
      <c r="B1213" s="51" t="s">
        <v>1969</v>
      </c>
      <c r="C1213" s="15" t="s">
        <v>1651</v>
      </c>
      <c r="D1213" s="15" t="s">
        <v>1651</v>
      </c>
      <c r="E1213" s="15"/>
      <c r="F1213" s="15"/>
      <c r="G1213" s="18">
        <f>G1214</f>
        <v>0</v>
      </c>
    </row>
    <row r="1214" spans="1:7" ht="23.25" customHeight="1" hidden="1">
      <c r="A1214" s="30" t="s">
        <v>1193</v>
      </c>
      <c r="B1214" s="51" t="s">
        <v>1969</v>
      </c>
      <c r="C1214" s="15" t="s">
        <v>1651</v>
      </c>
      <c r="D1214" s="15" t="s">
        <v>1651</v>
      </c>
      <c r="E1214" s="15" t="s">
        <v>1559</v>
      </c>
      <c r="F1214" s="15"/>
      <c r="G1214" s="18">
        <f>G1215</f>
        <v>0</v>
      </c>
    </row>
    <row r="1215" spans="1:7" ht="22.5" customHeight="1" hidden="1">
      <c r="A1215" s="16" t="s">
        <v>2004</v>
      </c>
      <c r="B1215" s="51" t="s">
        <v>1969</v>
      </c>
      <c r="C1215" s="15" t="s">
        <v>1651</v>
      </c>
      <c r="D1215" s="15" t="s">
        <v>1651</v>
      </c>
      <c r="E1215" s="15" t="s">
        <v>1559</v>
      </c>
      <c r="F1215" s="15" t="s">
        <v>360</v>
      </c>
      <c r="G1215" s="18"/>
    </row>
    <row r="1216" spans="1:7" ht="26.25" customHeight="1" hidden="1">
      <c r="A1216" s="59" t="s">
        <v>998</v>
      </c>
      <c r="B1216" s="51" t="s">
        <v>1969</v>
      </c>
      <c r="C1216" s="15" t="s">
        <v>1990</v>
      </c>
      <c r="D1216" s="15" t="s">
        <v>1646</v>
      </c>
      <c r="E1216" s="15"/>
      <c r="F1216" s="15"/>
      <c r="G1216" s="18">
        <f>G1221+G1227+G1217</f>
        <v>0</v>
      </c>
    </row>
    <row r="1217" spans="1:7" ht="20.25" customHeight="1" hidden="1">
      <c r="A1217" s="29" t="s">
        <v>879</v>
      </c>
      <c r="B1217" s="51" t="s">
        <v>1969</v>
      </c>
      <c r="C1217" s="15" t="s">
        <v>1990</v>
      </c>
      <c r="D1217" s="15" t="s">
        <v>1624</v>
      </c>
      <c r="E1217" s="15"/>
      <c r="F1217" s="15"/>
      <c r="G1217" s="18">
        <f>G1218</f>
        <v>0</v>
      </c>
    </row>
    <row r="1218" spans="1:7" ht="22.5" customHeight="1" hidden="1">
      <c r="A1218" s="30" t="s">
        <v>880</v>
      </c>
      <c r="B1218" s="51" t="s">
        <v>1969</v>
      </c>
      <c r="C1218" s="15" t="s">
        <v>1990</v>
      </c>
      <c r="D1218" s="15" t="s">
        <v>1624</v>
      </c>
      <c r="E1218" s="15" t="s">
        <v>881</v>
      </c>
      <c r="F1218" s="15"/>
      <c r="G1218" s="18">
        <f>G1219</f>
        <v>0</v>
      </c>
    </row>
    <row r="1219" spans="1:7" ht="29.25" customHeight="1" hidden="1">
      <c r="A1219" s="16" t="s">
        <v>2002</v>
      </c>
      <c r="B1219" s="51" t="s">
        <v>1969</v>
      </c>
      <c r="C1219" s="15" t="s">
        <v>1990</v>
      </c>
      <c r="D1219" s="15" t="s">
        <v>1624</v>
      </c>
      <c r="E1219" s="15" t="s">
        <v>43</v>
      </c>
      <c r="F1219" s="15" t="s">
        <v>575</v>
      </c>
      <c r="G1219" s="18">
        <f>G1220</f>
        <v>0</v>
      </c>
    </row>
    <row r="1220" spans="1:7" ht="22.5" customHeight="1" hidden="1">
      <c r="A1220" s="16" t="s">
        <v>955</v>
      </c>
      <c r="B1220" s="51" t="s">
        <v>1969</v>
      </c>
      <c r="C1220" s="15" t="s">
        <v>1990</v>
      </c>
      <c r="D1220" s="15" t="s">
        <v>1624</v>
      </c>
      <c r="E1220" s="15" t="s">
        <v>43</v>
      </c>
      <c r="F1220" s="15" t="s">
        <v>956</v>
      </c>
      <c r="G1220" s="18">
        <f>16460-16460</f>
        <v>0</v>
      </c>
    </row>
    <row r="1221" spans="1:7" ht="17.25" customHeight="1" hidden="1">
      <c r="A1221" s="203" t="s">
        <v>711</v>
      </c>
      <c r="B1221" s="51" t="s">
        <v>1969</v>
      </c>
      <c r="C1221" s="15" t="s">
        <v>1990</v>
      </c>
      <c r="D1221" s="15" t="s">
        <v>1653</v>
      </c>
      <c r="E1221" s="19"/>
      <c r="F1221" s="19"/>
      <c r="G1221" s="18">
        <f>G1222</f>
        <v>0</v>
      </c>
    </row>
    <row r="1222" spans="1:7" ht="22.5" customHeight="1" hidden="1">
      <c r="A1222" s="30" t="s">
        <v>1631</v>
      </c>
      <c r="B1222" s="51" t="s">
        <v>1969</v>
      </c>
      <c r="C1222" s="15" t="s">
        <v>1990</v>
      </c>
      <c r="D1222" s="15" t="s">
        <v>1653</v>
      </c>
      <c r="E1222" s="15" t="s">
        <v>505</v>
      </c>
      <c r="F1222" s="15"/>
      <c r="G1222" s="18">
        <f>G1223</f>
        <v>0</v>
      </c>
    </row>
    <row r="1223" spans="1:7" ht="15.75" customHeight="1" hidden="1">
      <c r="A1223" s="16" t="s">
        <v>47</v>
      </c>
      <c r="B1223" s="51" t="s">
        <v>1969</v>
      </c>
      <c r="C1223" s="15" t="s">
        <v>1990</v>
      </c>
      <c r="D1223" s="15" t="s">
        <v>1653</v>
      </c>
      <c r="E1223" s="15" t="s">
        <v>48</v>
      </c>
      <c r="F1223" s="15" t="s">
        <v>575</v>
      </c>
      <c r="G1223" s="18">
        <f>G1224</f>
        <v>0</v>
      </c>
    </row>
    <row r="1224" spans="1:7" ht="18.75" customHeight="1" hidden="1">
      <c r="A1224" s="16" t="s">
        <v>1365</v>
      </c>
      <c r="B1224" s="51" t="s">
        <v>1969</v>
      </c>
      <c r="C1224" s="15" t="s">
        <v>1990</v>
      </c>
      <c r="D1224" s="15" t="s">
        <v>1653</v>
      </c>
      <c r="E1224" s="15" t="s">
        <v>48</v>
      </c>
      <c r="F1224" s="15" t="s">
        <v>1366</v>
      </c>
      <c r="G1224" s="18"/>
    </row>
    <row r="1225" spans="1:7" ht="21" customHeight="1" hidden="1">
      <c r="A1225" s="191"/>
      <c r="B1225" s="51"/>
      <c r="C1225" s="15"/>
      <c r="D1225" s="15"/>
      <c r="E1225" s="15"/>
      <c r="F1225" s="15"/>
      <c r="G1225" s="18">
        <f>G1226</f>
        <v>0</v>
      </c>
    </row>
    <row r="1226" spans="1:7" ht="24" customHeight="1" hidden="1">
      <c r="A1226" s="204"/>
      <c r="B1226" s="65"/>
      <c r="C1226" s="52"/>
      <c r="D1226" s="52"/>
      <c r="E1226" s="52"/>
      <c r="F1226" s="52"/>
      <c r="G1226" s="53"/>
    </row>
    <row r="1227" spans="1:7" ht="24" customHeight="1" hidden="1">
      <c r="A1227" s="194" t="s">
        <v>712</v>
      </c>
      <c r="B1227" s="51" t="s">
        <v>1969</v>
      </c>
      <c r="C1227" s="15" t="s">
        <v>1990</v>
      </c>
      <c r="D1227" s="15" t="s">
        <v>439</v>
      </c>
      <c r="E1227" s="15"/>
      <c r="F1227" s="15"/>
      <c r="G1227" s="18">
        <f>G1228</f>
        <v>0</v>
      </c>
    </row>
    <row r="1228" spans="1:7" ht="34.5" customHeight="1" hidden="1">
      <c r="A1228" s="41" t="s">
        <v>1440</v>
      </c>
      <c r="B1228" s="51" t="s">
        <v>1969</v>
      </c>
      <c r="C1228" s="15" t="s">
        <v>1990</v>
      </c>
      <c r="D1228" s="15" t="s">
        <v>439</v>
      </c>
      <c r="E1228" s="15" t="s">
        <v>707</v>
      </c>
      <c r="F1228" s="15"/>
      <c r="G1228" s="18">
        <f>G1229+G1231</f>
        <v>0</v>
      </c>
    </row>
    <row r="1229" spans="1:7" ht="32.25" customHeight="1" hidden="1">
      <c r="A1229" s="16" t="s">
        <v>666</v>
      </c>
      <c r="B1229" s="51" t="s">
        <v>1969</v>
      </c>
      <c r="C1229" s="15" t="s">
        <v>1990</v>
      </c>
      <c r="D1229" s="15" t="s">
        <v>439</v>
      </c>
      <c r="E1229" s="15" t="s">
        <v>665</v>
      </c>
      <c r="F1229" s="15" t="s">
        <v>575</v>
      </c>
      <c r="G1229" s="18">
        <f>G1230</f>
        <v>0</v>
      </c>
    </row>
    <row r="1230" spans="1:7" ht="24" customHeight="1" hidden="1">
      <c r="A1230" s="16" t="s">
        <v>1365</v>
      </c>
      <c r="B1230" s="51" t="s">
        <v>1969</v>
      </c>
      <c r="C1230" s="15" t="s">
        <v>1990</v>
      </c>
      <c r="D1230" s="15" t="s">
        <v>439</v>
      </c>
      <c r="E1230" s="15" t="s">
        <v>665</v>
      </c>
      <c r="F1230" s="15" t="s">
        <v>1366</v>
      </c>
      <c r="G1230" s="18"/>
    </row>
    <row r="1231" spans="1:7" ht="22.5" customHeight="1" hidden="1">
      <c r="A1231" s="16" t="s">
        <v>649</v>
      </c>
      <c r="B1231" s="51" t="s">
        <v>1969</v>
      </c>
      <c r="C1231" s="15" t="s">
        <v>1990</v>
      </c>
      <c r="D1231" s="15" t="s">
        <v>439</v>
      </c>
      <c r="E1231" s="15" t="s">
        <v>46</v>
      </c>
      <c r="F1231" s="15" t="s">
        <v>575</v>
      </c>
      <c r="G1231" s="18">
        <f>G1232</f>
        <v>0</v>
      </c>
    </row>
    <row r="1232" spans="1:7" ht="15.75" customHeight="1" hidden="1">
      <c r="A1232" s="16" t="s">
        <v>727</v>
      </c>
      <c r="B1232" s="51" t="s">
        <v>1969</v>
      </c>
      <c r="C1232" s="15" t="s">
        <v>1990</v>
      </c>
      <c r="D1232" s="15" t="s">
        <v>439</v>
      </c>
      <c r="E1232" s="15" t="s">
        <v>46</v>
      </c>
      <c r="F1232" s="15" t="s">
        <v>1939</v>
      </c>
      <c r="G1232" s="18">
        <f>2006-2006</f>
        <v>0</v>
      </c>
    </row>
    <row r="1233" spans="1:7" ht="26.25" customHeight="1" hidden="1">
      <c r="A1233" s="54" t="s">
        <v>650</v>
      </c>
      <c r="B1233" s="51" t="s">
        <v>1969</v>
      </c>
      <c r="C1233" s="15" t="s">
        <v>1652</v>
      </c>
      <c r="D1233" s="15"/>
      <c r="E1233" s="15"/>
      <c r="F1233" s="15"/>
      <c r="G1233" s="18">
        <f>G1234</f>
        <v>0</v>
      </c>
    </row>
    <row r="1234" spans="1:7" ht="20.25" customHeight="1" hidden="1">
      <c r="A1234" s="194" t="s">
        <v>728</v>
      </c>
      <c r="B1234" s="51" t="s">
        <v>1969</v>
      </c>
      <c r="C1234" s="15" t="s">
        <v>1652</v>
      </c>
      <c r="D1234" s="15" t="s">
        <v>1990</v>
      </c>
      <c r="E1234" s="15"/>
      <c r="F1234" s="15"/>
      <c r="G1234" s="18">
        <f>G1235</f>
        <v>0</v>
      </c>
    </row>
    <row r="1235" spans="1:7" ht="20.25" customHeight="1" hidden="1">
      <c r="A1235" s="16" t="s">
        <v>2002</v>
      </c>
      <c r="B1235" s="51" t="s">
        <v>1969</v>
      </c>
      <c r="C1235" s="15" t="s">
        <v>1652</v>
      </c>
      <c r="D1235" s="15" t="s">
        <v>1990</v>
      </c>
      <c r="E1235" s="15" t="s">
        <v>119</v>
      </c>
      <c r="F1235" s="15"/>
      <c r="G1235" s="18">
        <f>G1236</f>
        <v>0</v>
      </c>
    </row>
    <row r="1236" spans="1:7" ht="22.5" customHeight="1" hidden="1">
      <c r="A1236" s="16" t="s">
        <v>955</v>
      </c>
      <c r="B1236" s="51" t="s">
        <v>1969</v>
      </c>
      <c r="C1236" s="15" t="s">
        <v>1652</v>
      </c>
      <c r="D1236" s="15" t="s">
        <v>1990</v>
      </c>
      <c r="E1236" s="15" t="s">
        <v>119</v>
      </c>
      <c r="F1236" s="15" t="s">
        <v>956</v>
      </c>
      <c r="G1236" s="18"/>
    </row>
    <row r="1237" spans="1:7" ht="18" customHeight="1" hidden="1">
      <c r="A1237" s="16" t="s">
        <v>1977</v>
      </c>
      <c r="B1237" s="51" t="s">
        <v>1969</v>
      </c>
      <c r="C1237" s="15" t="s">
        <v>1647</v>
      </c>
      <c r="D1237" s="15" t="s">
        <v>1653</v>
      </c>
      <c r="E1237" s="15" t="s">
        <v>1054</v>
      </c>
      <c r="F1237" s="15" t="s">
        <v>1978</v>
      </c>
      <c r="G1237" s="18"/>
    </row>
    <row r="1238" spans="1:7" ht="15">
      <c r="A1238" s="35" t="s">
        <v>1641</v>
      </c>
      <c r="B1238" s="51" t="s">
        <v>1969</v>
      </c>
      <c r="C1238" s="15" t="s">
        <v>1650</v>
      </c>
      <c r="D1238" s="15"/>
      <c r="E1238" s="15"/>
      <c r="F1238" s="24"/>
      <c r="G1238" s="18">
        <f>G1239+G1244+G1371+G1384</f>
        <v>134103.40000000002</v>
      </c>
    </row>
    <row r="1239" spans="1:7" ht="15">
      <c r="A1239" s="29" t="s">
        <v>1638</v>
      </c>
      <c r="B1239" s="51" t="s">
        <v>1969</v>
      </c>
      <c r="C1239" s="25" t="s">
        <v>1650</v>
      </c>
      <c r="D1239" s="25" t="s">
        <v>1624</v>
      </c>
      <c r="E1239" s="25"/>
      <c r="F1239" s="25"/>
      <c r="G1239" s="38">
        <f>G1240</f>
        <v>6905.8</v>
      </c>
    </row>
    <row r="1240" spans="1:7" ht="15.75" customHeight="1">
      <c r="A1240" s="30" t="s">
        <v>582</v>
      </c>
      <c r="B1240" s="51" t="s">
        <v>1969</v>
      </c>
      <c r="C1240" s="25" t="s">
        <v>1650</v>
      </c>
      <c r="D1240" s="25" t="s">
        <v>1624</v>
      </c>
      <c r="E1240" s="25" t="s">
        <v>583</v>
      </c>
      <c r="F1240" s="25"/>
      <c r="G1240" s="38">
        <f>G1241</f>
        <v>6905.8</v>
      </c>
    </row>
    <row r="1241" spans="1:7" ht="15">
      <c r="A1241" s="192" t="s">
        <v>1167</v>
      </c>
      <c r="B1241" s="51" t="s">
        <v>1969</v>
      </c>
      <c r="C1241" s="15" t="s">
        <v>1650</v>
      </c>
      <c r="D1241" s="15" t="s">
        <v>1624</v>
      </c>
      <c r="E1241" s="15" t="s">
        <v>1168</v>
      </c>
      <c r="F1241" s="15"/>
      <c r="G1241" s="18">
        <f>G1242</f>
        <v>6905.8</v>
      </c>
    </row>
    <row r="1242" spans="1:7" ht="24">
      <c r="A1242" s="16" t="s">
        <v>1508</v>
      </c>
      <c r="B1242" s="51" t="s">
        <v>1969</v>
      </c>
      <c r="C1242" s="15" t="s">
        <v>1650</v>
      </c>
      <c r="D1242" s="15" t="s">
        <v>1624</v>
      </c>
      <c r="E1242" s="15" t="s">
        <v>1169</v>
      </c>
      <c r="F1242" s="15" t="s">
        <v>575</v>
      </c>
      <c r="G1242" s="18">
        <f>G1243</f>
        <v>6905.8</v>
      </c>
    </row>
    <row r="1243" spans="1:7" ht="24">
      <c r="A1243" s="16" t="s">
        <v>1552</v>
      </c>
      <c r="B1243" s="51" t="s">
        <v>1969</v>
      </c>
      <c r="C1243" s="15" t="s">
        <v>1650</v>
      </c>
      <c r="D1243" s="15" t="s">
        <v>1624</v>
      </c>
      <c r="E1243" s="15" t="s">
        <v>1169</v>
      </c>
      <c r="F1243" s="15" t="s">
        <v>1553</v>
      </c>
      <c r="G1243" s="18">
        <v>6905.8</v>
      </c>
    </row>
    <row r="1244" spans="1:7" ht="15">
      <c r="A1244" s="29" t="s">
        <v>267</v>
      </c>
      <c r="B1244" s="51" t="s">
        <v>1969</v>
      </c>
      <c r="C1244" s="15" t="s">
        <v>1650</v>
      </c>
      <c r="D1244" s="15" t="s">
        <v>1653</v>
      </c>
      <c r="E1244" s="15"/>
      <c r="F1244" s="15"/>
      <c r="G1244" s="18">
        <f>G1245+G1248+G1255+G1344+G1359</f>
        <v>118355.6</v>
      </c>
    </row>
    <row r="1245" spans="1:7" ht="24">
      <c r="A1245" s="35" t="s">
        <v>819</v>
      </c>
      <c r="B1245" s="51" t="s">
        <v>1969</v>
      </c>
      <c r="C1245" s="15" t="s">
        <v>1650</v>
      </c>
      <c r="D1245" s="15" t="s">
        <v>1653</v>
      </c>
      <c r="E1245" s="15" t="s">
        <v>503</v>
      </c>
      <c r="F1245" s="15"/>
      <c r="G1245" s="38">
        <f>G1246</f>
        <v>2840.6</v>
      </c>
    </row>
    <row r="1246" spans="1:7" ht="63.75" customHeight="1">
      <c r="A1246" s="35" t="s">
        <v>329</v>
      </c>
      <c r="B1246" s="51" t="s">
        <v>1969</v>
      </c>
      <c r="C1246" s="15" t="s">
        <v>1650</v>
      </c>
      <c r="D1246" s="15" t="s">
        <v>1653</v>
      </c>
      <c r="E1246" s="15" t="s">
        <v>820</v>
      </c>
      <c r="F1246" s="15" t="s">
        <v>575</v>
      </c>
      <c r="G1246" s="18">
        <f>G1247</f>
        <v>2840.6</v>
      </c>
    </row>
    <row r="1247" spans="1:7" ht="24">
      <c r="A1247" s="35" t="s">
        <v>235</v>
      </c>
      <c r="B1247" s="51"/>
      <c r="C1247" s="15" t="s">
        <v>1650</v>
      </c>
      <c r="D1247" s="15" t="s">
        <v>1653</v>
      </c>
      <c r="E1247" s="15" t="s">
        <v>820</v>
      </c>
      <c r="F1247" s="15" t="s">
        <v>88</v>
      </c>
      <c r="G1247" s="18">
        <v>2840.6</v>
      </c>
    </row>
    <row r="1248" spans="1:7" ht="24">
      <c r="A1248" s="31" t="s">
        <v>733</v>
      </c>
      <c r="B1248" s="51" t="s">
        <v>1969</v>
      </c>
      <c r="C1248" s="15" t="s">
        <v>1650</v>
      </c>
      <c r="D1248" s="15" t="s">
        <v>1653</v>
      </c>
      <c r="E1248" s="15" t="s">
        <v>86</v>
      </c>
      <c r="F1248" s="15" t="s">
        <v>575</v>
      </c>
      <c r="G1248" s="18">
        <f>G1249+G1252</f>
        <v>16268.5</v>
      </c>
    </row>
    <row r="1249" spans="1:7" ht="30" customHeight="1">
      <c r="A1249" s="35" t="s">
        <v>165</v>
      </c>
      <c r="B1249" s="51" t="s">
        <v>1969</v>
      </c>
      <c r="C1249" s="15" t="s">
        <v>1650</v>
      </c>
      <c r="D1249" s="15" t="s">
        <v>1653</v>
      </c>
      <c r="E1249" s="15" t="s">
        <v>579</v>
      </c>
      <c r="F1249" s="15" t="s">
        <v>575</v>
      </c>
      <c r="G1249" s="53">
        <f>G1250</f>
        <v>14948.1</v>
      </c>
    </row>
    <row r="1250" spans="1:7" ht="24">
      <c r="A1250" s="35" t="s">
        <v>232</v>
      </c>
      <c r="B1250" s="51" t="s">
        <v>1969</v>
      </c>
      <c r="C1250" s="15" t="s">
        <v>1650</v>
      </c>
      <c r="D1250" s="15" t="s">
        <v>1653</v>
      </c>
      <c r="E1250" s="15" t="s">
        <v>579</v>
      </c>
      <c r="F1250" s="15" t="s">
        <v>233</v>
      </c>
      <c r="G1250" s="53">
        <f>G1251</f>
        <v>14948.1</v>
      </c>
    </row>
    <row r="1251" spans="1:7" ht="24">
      <c r="A1251" s="35" t="s">
        <v>1609</v>
      </c>
      <c r="B1251" s="51" t="s">
        <v>1969</v>
      </c>
      <c r="C1251" s="15" t="s">
        <v>1650</v>
      </c>
      <c r="D1251" s="15" t="s">
        <v>1653</v>
      </c>
      <c r="E1251" s="15" t="s">
        <v>579</v>
      </c>
      <c r="F1251" s="15" t="s">
        <v>88</v>
      </c>
      <c r="G1251" s="53">
        <v>14948.1</v>
      </c>
    </row>
    <row r="1252" spans="1:7" ht="24">
      <c r="A1252" s="35" t="s">
        <v>982</v>
      </c>
      <c r="B1252" s="51" t="s">
        <v>1969</v>
      </c>
      <c r="C1252" s="15" t="s">
        <v>1650</v>
      </c>
      <c r="D1252" s="15" t="s">
        <v>1653</v>
      </c>
      <c r="E1252" s="15" t="s">
        <v>87</v>
      </c>
      <c r="F1252" s="15" t="s">
        <v>575</v>
      </c>
      <c r="G1252" s="18">
        <f>G1253</f>
        <v>1320.4</v>
      </c>
    </row>
    <row r="1253" spans="1:7" ht="24">
      <c r="A1253" s="35" t="s">
        <v>232</v>
      </c>
      <c r="B1253" s="51" t="s">
        <v>1969</v>
      </c>
      <c r="C1253" s="15" t="s">
        <v>1650</v>
      </c>
      <c r="D1253" s="15" t="s">
        <v>1653</v>
      </c>
      <c r="E1253" s="15" t="s">
        <v>87</v>
      </c>
      <c r="F1253" s="15" t="s">
        <v>233</v>
      </c>
      <c r="G1253" s="18">
        <f>G1254</f>
        <v>1320.4</v>
      </c>
    </row>
    <row r="1254" spans="1:7" ht="24">
      <c r="A1254" s="35" t="s">
        <v>1609</v>
      </c>
      <c r="B1254" s="51" t="s">
        <v>1969</v>
      </c>
      <c r="C1254" s="15" t="s">
        <v>1650</v>
      </c>
      <c r="D1254" s="15" t="s">
        <v>1653</v>
      </c>
      <c r="E1254" s="15" t="s">
        <v>87</v>
      </c>
      <c r="F1254" s="15" t="s">
        <v>88</v>
      </c>
      <c r="G1254" s="18">
        <f>795.4+525</f>
        <v>1320.4</v>
      </c>
    </row>
    <row r="1255" spans="1:7" ht="13.5" customHeight="1">
      <c r="A1255" s="30" t="s">
        <v>538</v>
      </c>
      <c r="B1255" s="51" t="s">
        <v>1969</v>
      </c>
      <c r="C1255" s="15" t="s">
        <v>1650</v>
      </c>
      <c r="D1255" s="15" t="s">
        <v>1653</v>
      </c>
      <c r="E1255" s="15" t="s">
        <v>1170</v>
      </c>
      <c r="F1255" s="15"/>
      <c r="G1255" s="18">
        <f>G1256+G1336</f>
        <v>29029.100000000002</v>
      </c>
    </row>
    <row r="1256" spans="1:7" ht="15">
      <c r="A1256" s="31" t="s">
        <v>1145</v>
      </c>
      <c r="B1256" s="51" t="s">
        <v>1969</v>
      </c>
      <c r="C1256" s="15" t="s">
        <v>1650</v>
      </c>
      <c r="D1256" s="15" t="s">
        <v>1653</v>
      </c>
      <c r="E1256" s="15" t="s">
        <v>1144</v>
      </c>
      <c r="F1256" s="15"/>
      <c r="G1256" s="18">
        <f>G1257+G1267+G1277+G1282+G1285+G1288+G1291+G1294+G1297+G1300+G1303+G1306+G1309+G1312+G1315+G1320+G1323+G1331</f>
        <v>28563.100000000002</v>
      </c>
    </row>
    <row r="1257" spans="1:7" ht="15">
      <c r="A1257" s="35" t="s">
        <v>1165</v>
      </c>
      <c r="B1257" s="51" t="s">
        <v>1969</v>
      </c>
      <c r="C1257" s="15" t="s">
        <v>1650</v>
      </c>
      <c r="D1257" s="15" t="s">
        <v>1653</v>
      </c>
      <c r="E1257" s="15" t="s">
        <v>1956</v>
      </c>
      <c r="F1257" s="173" t="s">
        <v>575</v>
      </c>
      <c r="G1257" s="18">
        <f>G1258</f>
        <v>500</v>
      </c>
    </row>
    <row r="1258" spans="1:7" ht="48">
      <c r="A1258" s="16" t="s">
        <v>750</v>
      </c>
      <c r="B1258" s="51" t="s">
        <v>1969</v>
      </c>
      <c r="C1258" s="15" t="s">
        <v>1650</v>
      </c>
      <c r="D1258" s="15" t="s">
        <v>1653</v>
      </c>
      <c r="E1258" s="15" t="s">
        <v>1549</v>
      </c>
      <c r="F1258" s="15" t="s">
        <v>575</v>
      </c>
      <c r="G1258" s="18">
        <f>G1259</f>
        <v>500</v>
      </c>
    </row>
    <row r="1259" spans="1:7" ht="24">
      <c r="A1259" s="35" t="s">
        <v>842</v>
      </c>
      <c r="B1259" s="51" t="s">
        <v>1969</v>
      </c>
      <c r="C1259" s="15" t="s">
        <v>1650</v>
      </c>
      <c r="D1259" s="15" t="s">
        <v>1653</v>
      </c>
      <c r="E1259" s="15" t="s">
        <v>1549</v>
      </c>
      <c r="F1259" s="15" t="s">
        <v>471</v>
      </c>
      <c r="G1259" s="18">
        <f>G1260</f>
        <v>500</v>
      </c>
    </row>
    <row r="1260" spans="1:7" ht="20.25" customHeight="1">
      <c r="A1260" s="16" t="s">
        <v>1552</v>
      </c>
      <c r="B1260" s="51" t="s">
        <v>1969</v>
      </c>
      <c r="C1260" s="15" t="s">
        <v>1650</v>
      </c>
      <c r="D1260" s="15" t="s">
        <v>1653</v>
      </c>
      <c r="E1260" s="15" t="s">
        <v>1549</v>
      </c>
      <c r="F1260" s="15" t="s">
        <v>1553</v>
      </c>
      <c r="G1260" s="18">
        <v>500</v>
      </c>
    </row>
    <row r="1261" spans="1:7" ht="58.5" customHeight="1" hidden="1">
      <c r="A1261" s="35" t="s">
        <v>512</v>
      </c>
      <c r="B1261" s="51" t="s">
        <v>1969</v>
      </c>
      <c r="C1261" s="15" t="s">
        <v>1650</v>
      </c>
      <c r="D1261" s="15" t="s">
        <v>1653</v>
      </c>
      <c r="E1261" s="15" t="s">
        <v>178</v>
      </c>
      <c r="F1261" s="15"/>
      <c r="G1261" s="18">
        <f>G1262</f>
        <v>0</v>
      </c>
    </row>
    <row r="1262" spans="1:7" ht="20.25" customHeight="1" hidden="1">
      <c r="A1262" s="35" t="s">
        <v>166</v>
      </c>
      <c r="B1262" s="51" t="s">
        <v>1969</v>
      </c>
      <c r="C1262" s="15" t="s">
        <v>1650</v>
      </c>
      <c r="D1262" s="15" t="s">
        <v>1653</v>
      </c>
      <c r="E1262" s="15" t="s">
        <v>178</v>
      </c>
      <c r="F1262" s="15" t="s">
        <v>738</v>
      </c>
      <c r="G1262" s="18">
        <v>0</v>
      </c>
    </row>
    <row r="1263" spans="1:7" ht="48" hidden="1">
      <c r="A1263" s="35" t="s">
        <v>193</v>
      </c>
      <c r="B1263" s="51" t="s">
        <v>1969</v>
      </c>
      <c r="C1263" s="15" t="s">
        <v>1650</v>
      </c>
      <c r="D1263" s="15" t="s">
        <v>1653</v>
      </c>
      <c r="E1263" s="15" t="s">
        <v>704</v>
      </c>
      <c r="F1263" s="15" t="s">
        <v>575</v>
      </c>
      <c r="G1263" s="18">
        <f>G1264</f>
        <v>0</v>
      </c>
    </row>
    <row r="1264" spans="1:7" ht="24.75" hidden="1">
      <c r="A1264" s="35" t="s">
        <v>166</v>
      </c>
      <c r="B1264" s="51" t="s">
        <v>1969</v>
      </c>
      <c r="C1264" s="15" t="s">
        <v>1650</v>
      </c>
      <c r="D1264" s="15" t="s">
        <v>1653</v>
      </c>
      <c r="E1264" s="15" t="s">
        <v>704</v>
      </c>
      <c r="F1264" s="15" t="s">
        <v>738</v>
      </c>
      <c r="G1264" s="18"/>
    </row>
    <row r="1265" spans="1:7" ht="34.5" customHeight="1" hidden="1">
      <c r="A1265" s="35" t="s">
        <v>758</v>
      </c>
      <c r="B1265" s="51" t="s">
        <v>1969</v>
      </c>
      <c r="C1265" s="15" t="s">
        <v>1650</v>
      </c>
      <c r="D1265" s="15" t="s">
        <v>1653</v>
      </c>
      <c r="E1265" s="15" t="s">
        <v>562</v>
      </c>
      <c r="F1265" s="15" t="s">
        <v>575</v>
      </c>
      <c r="G1265" s="18">
        <f>G1266</f>
        <v>0</v>
      </c>
    </row>
    <row r="1266" spans="1:7" ht="15.75" customHeight="1" hidden="1">
      <c r="A1266" s="35" t="s">
        <v>166</v>
      </c>
      <c r="B1266" s="51" t="s">
        <v>1969</v>
      </c>
      <c r="C1266" s="15" t="s">
        <v>1650</v>
      </c>
      <c r="D1266" s="15" t="s">
        <v>1653</v>
      </c>
      <c r="E1266" s="15" t="s">
        <v>562</v>
      </c>
      <c r="F1266" s="15" t="s">
        <v>167</v>
      </c>
      <c r="G1266" s="18">
        <v>0</v>
      </c>
    </row>
    <row r="1267" spans="1:7" ht="24.75" hidden="1">
      <c r="A1267" s="16" t="s">
        <v>266</v>
      </c>
      <c r="B1267" s="51" t="s">
        <v>1969</v>
      </c>
      <c r="C1267" s="15" t="s">
        <v>1650</v>
      </c>
      <c r="D1267" s="15" t="s">
        <v>1653</v>
      </c>
      <c r="E1267" s="15" t="s">
        <v>563</v>
      </c>
      <c r="F1267" s="15" t="s">
        <v>575</v>
      </c>
      <c r="G1267" s="18">
        <f>G1268</f>
        <v>0</v>
      </c>
    </row>
    <row r="1268" spans="1:7" ht="24.75" hidden="1">
      <c r="A1268" s="16" t="s">
        <v>843</v>
      </c>
      <c r="B1268" s="51" t="s">
        <v>1969</v>
      </c>
      <c r="C1268" s="15" t="s">
        <v>1650</v>
      </c>
      <c r="D1268" s="15" t="s">
        <v>1653</v>
      </c>
      <c r="E1268" s="15" t="s">
        <v>563</v>
      </c>
      <c r="F1268" s="15" t="s">
        <v>844</v>
      </c>
      <c r="G1268" s="18">
        <v>0</v>
      </c>
    </row>
    <row r="1269" spans="1:7" ht="48" hidden="1">
      <c r="A1269" s="16" t="s">
        <v>1102</v>
      </c>
      <c r="B1269" s="51" t="s">
        <v>1969</v>
      </c>
      <c r="C1269" s="15" t="s">
        <v>1650</v>
      </c>
      <c r="D1269" s="15" t="s">
        <v>1653</v>
      </c>
      <c r="E1269" s="15" t="s">
        <v>1550</v>
      </c>
      <c r="F1269" s="15" t="s">
        <v>575</v>
      </c>
      <c r="G1269" s="18">
        <f>G1270+G1282</f>
        <v>1835.1</v>
      </c>
    </row>
    <row r="1270" spans="1:7" ht="24.75" hidden="1">
      <c r="A1270" s="16" t="s">
        <v>997</v>
      </c>
      <c r="B1270" s="51" t="s">
        <v>1969</v>
      </c>
      <c r="C1270" s="15" t="s">
        <v>1650</v>
      </c>
      <c r="D1270" s="15" t="s">
        <v>1653</v>
      </c>
      <c r="E1270" s="15" t="s">
        <v>1550</v>
      </c>
      <c r="F1270" s="15" t="s">
        <v>105</v>
      </c>
      <c r="G1270" s="18">
        <v>0</v>
      </c>
    </row>
    <row r="1271" spans="1:7" ht="22.5" customHeight="1" hidden="1">
      <c r="A1271" s="16" t="s">
        <v>1127</v>
      </c>
      <c r="B1271" s="51" t="s">
        <v>1969</v>
      </c>
      <c r="C1271" s="15" t="s">
        <v>1650</v>
      </c>
      <c r="D1271" s="15" t="s">
        <v>1653</v>
      </c>
      <c r="E1271" s="15" t="s">
        <v>1103</v>
      </c>
      <c r="F1271" s="15" t="s">
        <v>575</v>
      </c>
      <c r="G1271" s="18">
        <f>G1272</f>
        <v>0</v>
      </c>
    </row>
    <row r="1272" spans="1:7" ht="22.5" customHeight="1" hidden="1">
      <c r="A1272" s="16" t="s">
        <v>997</v>
      </c>
      <c r="B1272" s="51" t="s">
        <v>1969</v>
      </c>
      <c r="C1272" s="15" t="s">
        <v>1650</v>
      </c>
      <c r="D1272" s="15" t="s">
        <v>1653</v>
      </c>
      <c r="E1272" s="15" t="s">
        <v>1103</v>
      </c>
      <c r="F1272" s="15" t="s">
        <v>105</v>
      </c>
      <c r="G1272" s="18">
        <v>0</v>
      </c>
    </row>
    <row r="1273" spans="1:7" ht="69" customHeight="1" hidden="1">
      <c r="A1273" s="16" t="s">
        <v>501</v>
      </c>
      <c r="B1273" s="51" t="s">
        <v>1969</v>
      </c>
      <c r="C1273" s="15" t="s">
        <v>1650</v>
      </c>
      <c r="D1273" s="15" t="s">
        <v>1653</v>
      </c>
      <c r="E1273" s="15" t="s">
        <v>488</v>
      </c>
      <c r="F1273" s="15"/>
      <c r="G1273" s="18">
        <f>G1274</f>
        <v>0</v>
      </c>
    </row>
    <row r="1274" spans="1:7" ht="23.25" customHeight="1" hidden="1">
      <c r="A1274" s="16" t="s">
        <v>997</v>
      </c>
      <c r="B1274" s="51" t="s">
        <v>1969</v>
      </c>
      <c r="C1274" s="15" t="s">
        <v>1650</v>
      </c>
      <c r="D1274" s="15" t="s">
        <v>1653</v>
      </c>
      <c r="E1274" s="15" t="s">
        <v>488</v>
      </c>
      <c r="F1274" s="15" t="s">
        <v>105</v>
      </c>
      <c r="G1274" s="18">
        <v>0</v>
      </c>
    </row>
    <row r="1275" spans="1:7" ht="22.5" customHeight="1" hidden="1">
      <c r="A1275" s="16" t="s">
        <v>1658</v>
      </c>
      <c r="B1275" s="51" t="s">
        <v>1969</v>
      </c>
      <c r="C1275" s="15" t="s">
        <v>1650</v>
      </c>
      <c r="D1275" s="15" t="s">
        <v>1653</v>
      </c>
      <c r="E1275" s="15" t="s">
        <v>564</v>
      </c>
      <c r="F1275" s="15"/>
      <c r="G1275" s="18">
        <f>G1276</f>
        <v>0</v>
      </c>
    </row>
    <row r="1276" spans="1:7" ht="22.5" customHeight="1" hidden="1">
      <c r="A1276" s="16" t="s">
        <v>997</v>
      </c>
      <c r="B1276" s="51" t="s">
        <v>1969</v>
      </c>
      <c r="C1276" s="15" t="s">
        <v>1650</v>
      </c>
      <c r="D1276" s="15" t="s">
        <v>1653</v>
      </c>
      <c r="E1276" s="15" t="s">
        <v>564</v>
      </c>
      <c r="F1276" s="15" t="s">
        <v>105</v>
      </c>
      <c r="G1276" s="18">
        <v>0</v>
      </c>
    </row>
    <row r="1277" spans="1:7" ht="60" customHeight="1">
      <c r="A1277" s="35" t="s">
        <v>485</v>
      </c>
      <c r="B1277" s="51" t="s">
        <v>1969</v>
      </c>
      <c r="C1277" s="15" t="s">
        <v>1650</v>
      </c>
      <c r="D1277" s="15" t="s">
        <v>1653</v>
      </c>
      <c r="E1277" s="15" t="s">
        <v>1958</v>
      </c>
      <c r="F1277" s="15"/>
      <c r="G1277" s="18">
        <f>G1278+G1280</f>
        <v>12310.2</v>
      </c>
    </row>
    <row r="1278" spans="1:7" ht="51.75" customHeight="1">
      <c r="A1278" s="35" t="s">
        <v>486</v>
      </c>
      <c r="B1278" s="51" t="s">
        <v>1969</v>
      </c>
      <c r="C1278" s="15" t="s">
        <v>1650</v>
      </c>
      <c r="D1278" s="15" t="s">
        <v>1653</v>
      </c>
      <c r="E1278" s="15" t="s">
        <v>178</v>
      </c>
      <c r="F1278" s="15" t="s">
        <v>575</v>
      </c>
      <c r="G1278" s="18">
        <f>G1279</f>
        <v>1758.6</v>
      </c>
    </row>
    <row r="1279" spans="1:7" ht="28.5" customHeight="1">
      <c r="A1279" s="16" t="s">
        <v>843</v>
      </c>
      <c r="B1279" s="51" t="s">
        <v>1969</v>
      </c>
      <c r="C1279" s="15" t="s">
        <v>1650</v>
      </c>
      <c r="D1279" s="15" t="s">
        <v>1653</v>
      </c>
      <c r="E1279" s="15" t="s">
        <v>178</v>
      </c>
      <c r="F1279" s="15" t="s">
        <v>844</v>
      </c>
      <c r="G1279" s="18">
        <v>1758.6</v>
      </c>
    </row>
    <row r="1280" spans="1:7" ht="44.25" customHeight="1">
      <c r="A1280" s="16" t="s">
        <v>1282</v>
      </c>
      <c r="B1280" s="51" t="s">
        <v>1969</v>
      </c>
      <c r="C1280" s="15" t="s">
        <v>1650</v>
      </c>
      <c r="D1280" s="15" t="s">
        <v>1653</v>
      </c>
      <c r="E1280" s="15" t="s">
        <v>704</v>
      </c>
      <c r="F1280" s="15" t="s">
        <v>575</v>
      </c>
      <c r="G1280" s="18">
        <f>G1281</f>
        <v>10551.6</v>
      </c>
    </row>
    <row r="1281" spans="1:7" ht="32.25" customHeight="1">
      <c r="A1281" s="16" t="s">
        <v>843</v>
      </c>
      <c r="B1281" s="51" t="s">
        <v>1969</v>
      </c>
      <c r="C1281" s="15" t="s">
        <v>1650</v>
      </c>
      <c r="D1281" s="15" t="s">
        <v>1653</v>
      </c>
      <c r="E1281" s="15" t="s">
        <v>704</v>
      </c>
      <c r="F1281" s="15" t="s">
        <v>844</v>
      </c>
      <c r="G1281" s="18">
        <v>10551.6</v>
      </c>
    </row>
    <row r="1282" spans="1:7" ht="24">
      <c r="A1282" s="16" t="s">
        <v>565</v>
      </c>
      <c r="B1282" s="51" t="s">
        <v>1969</v>
      </c>
      <c r="C1282" s="15" t="s">
        <v>1650</v>
      </c>
      <c r="D1282" s="15" t="s">
        <v>1653</v>
      </c>
      <c r="E1282" s="15" t="s">
        <v>566</v>
      </c>
      <c r="F1282" s="15" t="s">
        <v>575</v>
      </c>
      <c r="G1282" s="18">
        <f>G1283</f>
        <v>1835.1</v>
      </c>
    </row>
    <row r="1283" spans="1:7" ht="24">
      <c r="A1283" s="35" t="s">
        <v>842</v>
      </c>
      <c r="B1283" s="51" t="s">
        <v>1969</v>
      </c>
      <c r="C1283" s="15" t="s">
        <v>1650</v>
      </c>
      <c r="D1283" s="15" t="s">
        <v>1653</v>
      </c>
      <c r="E1283" s="15" t="s">
        <v>566</v>
      </c>
      <c r="F1283" s="15" t="s">
        <v>471</v>
      </c>
      <c r="G1283" s="18">
        <f>G1284</f>
        <v>1835.1</v>
      </c>
    </row>
    <row r="1284" spans="1:7" ht="24">
      <c r="A1284" s="16" t="s">
        <v>1552</v>
      </c>
      <c r="B1284" s="51" t="s">
        <v>1969</v>
      </c>
      <c r="C1284" s="15" t="s">
        <v>1650</v>
      </c>
      <c r="D1284" s="15" t="s">
        <v>1653</v>
      </c>
      <c r="E1284" s="15" t="s">
        <v>566</v>
      </c>
      <c r="F1284" s="15" t="s">
        <v>1553</v>
      </c>
      <c r="G1284" s="18">
        <v>1835.1</v>
      </c>
    </row>
    <row r="1285" spans="1:7" ht="84">
      <c r="A1285" s="16" t="s">
        <v>1533</v>
      </c>
      <c r="B1285" s="51" t="s">
        <v>1969</v>
      </c>
      <c r="C1285" s="15" t="s">
        <v>1650</v>
      </c>
      <c r="D1285" s="15" t="s">
        <v>1653</v>
      </c>
      <c r="E1285" s="15" t="s">
        <v>567</v>
      </c>
      <c r="F1285" s="15" t="s">
        <v>575</v>
      </c>
      <c r="G1285" s="18">
        <f>G1286</f>
        <v>2425</v>
      </c>
    </row>
    <row r="1286" spans="1:7" ht="24">
      <c r="A1286" s="35" t="s">
        <v>842</v>
      </c>
      <c r="B1286" s="51" t="s">
        <v>1969</v>
      </c>
      <c r="C1286" s="15" t="s">
        <v>1650</v>
      </c>
      <c r="D1286" s="15" t="s">
        <v>1653</v>
      </c>
      <c r="E1286" s="15" t="s">
        <v>567</v>
      </c>
      <c r="F1286" s="15" t="s">
        <v>471</v>
      </c>
      <c r="G1286" s="18">
        <f>G1287</f>
        <v>2425</v>
      </c>
    </row>
    <row r="1287" spans="1:7" ht="24">
      <c r="A1287" s="16" t="s">
        <v>1552</v>
      </c>
      <c r="B1287" s="51" t="s">
        <v>1969</v>
      </c>
      <c r="C1287" s="15" t="s">
        <v>1650</v>
      </c>
      <c r="D1287" s="15" t="s">
        <v>1653</v>
      </c>
      <c r="E1287" s="15" t="s">
        <v>567</v>
      </c>
      <c r="F1287" s="15" t="s">
        <v>1553</v>
      </c>
      <c r="G1287" s="18">
        <v>2425</v>
      </c>
    </row>
    <row r="1288" spans="1:7" ht="36">
      <c r="A1288" s="16" t="s">
        <v>878</v>
      </c>
      <c r="B1288" s="51" t="s">
        <v>1969</v>
      </c>
      <c r="C1288" s="15" t="s">
        <v>1650</v>
      </c>
      <c r="D1288" s="15" t="s">
        <v>1653</v>
      </c>
      <c r="E1288" s="15" t="s">
        <v>568</v>
      </c>
      <c r="F1288" s="15" t="s">
        <v>575</v>
      </c>
      <c r="G1288" s="18">
        <f>G1289</f>
        <v>360</v>
      </c>
    </row>
    <row r="1289" spans="1:7" ht="24">
      <c r="A1289" s="35" t="s">
        <v>842</v>
      </c>
      <c r="B1289" s="51" t="s">
        <v>1969</v>
      </c>
      <c r="C1289" s="15" t="s">
        <v>1650</v>
      </c>
      <c r="D1289" s="15" t="s">
        <v>1653</v>
      </c>
      <c r="E1289" s="15" t="s">
        <v>568</v>
      </c>
      <c r="F1289" s="15" t="s">
        <v>471</v>
      </c>
      <c r="G1289" s="18">
        <f>G1290</f>
        <v>360</v>
      </c>
    </row>
    <row r="1290" spans="1:7" ht="24">
      <c r="A1290" s="16" t="s">
        <v>1552</v>
      </c>
      <c r="B1290" s="51" t="s">
        <v>1969</v>
      </c>
      <c r="C1290" s="15" t="s">
        <v>1650</v>
      </c>
      <c r="D1290" s="15" t="s">
        <v>1653</v>
      </c>
      <c r="E1290" s="15" t="s">
        <v>568</v>
      </c>
      <c r="F1290" s="15" t="s">
        <v>1553</v>
      </c>
      <c r="G1290" s="18">
        <v>360</v>
      </c>
    </row>
    <row r="1291" spans="1:7" ht="24">
      <c r="A1291" s="16" t="s">
        <v>907</v>
      </c>
      <c r="B1291" s="51" t="s">
        <v>1969</v>
      </c>
      <c r="C1291" s="15" t="s">
        <v>1650</v>
      </c>
      <c r="D1291" s="15" t="s">
        <v>1653</v>
      </c>
      <c r="E1291" s="15" t="s">
        <v>908</v>
      </c>
      <c r="F1291" s="15" t="s">
        <v>575</v>
      </c>
      <c r="G1291" s="18">
        <f>G1292</f>
        <v>361.1</v>
      </c>
    </row>
    <row r="1292" spans="1:7" ht="24">
      <c r="A1292" s="35" t="s">
        <v>842</v>
      </c>
      <c r="B1292" s="51" t="s">
        <v>1969</v>
      </c>
      <c r="C1292" s="15" t="s">
        <v>1650</v>
      </c>
      <c r="D1292" s="15" t="s">
        <v>1653</v>
      </c>
      <c r="E1292" s="15" t="s">
        <v>908</v>
      </c>
      <c r="F1292" s="15" t="s">
        <v>471</v>
      </c>
      <c r="G1292" s="18">
        <f>G1293</f>
        <v>361.1</v>
      </c>
    </row>
    <row r="1293" spans="1:7" ht="24">
      <c r="A1293" s="16" t="s">
        <v>1552</v>
      </c>
      <c r="B1293" s="51" t="s">
        <v>1969</v>
      </c>
      <c r="C1293" s="15" t="s">
        <v>1650</v>
      </c>
      <c r="D1293" s="15" t="s">
        <v>1653</v>
      </c>
      <c r="E1293" s="15" t="s">
        <v>908</v>
      </c>
      <c r="F1293" s="15" t="s">
        <v>1553</v>
      </c>
      <c r="G1293" s="18">
        <v>361.1</v>
      </c>
    </row>
    <row r="1294" spans="1:7" ht="24">
      <c r="A1294" s="16" t="s">
        <v>657</v>
      </c>
      <c r="B1294" s="51" t="s">
        <v>1969</v>
      </c>
      <c r="C1294" s="15" t="s">
        <v>1650</v>
      </c>
      <c r="D1294" s="15" t="s">
        <v>1653</v>
      </c>
      <c r="E1294" s="15" t="s">
        <v>658</v>
      </c>
      <c r="F1294" s="15" t="s">
        <v>575</v>
      </c>
      <c r="G1294" s="18">
        <f>G1295</f>
        <v>188.6</v>
      </c>
    </row>
    <row r="1295" spans="1:7" ht="24">
      <c r="A1295" s="35" t="s">
        <v>842</v>
      </c>
      <c r="B1295" s="51" t="s">
        <v>1969</v>
      </c>
      <c r="C1295" s="15" t="s">
        <v>1650</v>
      </c>
      <c r="D1295" s="15" t="s">
        <v>1653</v>
      </c>
      <c r="E1295" s="15" t="s">
        <v>658</v>
      </c>
      <c r="F1295" s="15" t="s">
        <v>471</v>
      </c>
      <c r="G1295" s="18">
        <f>G1296</f>
        <v>188.6</v>
      </c>
    </row>
    <row r="1296" spans="1:7" ht="24">
      <c r="A1296" s="16" t="s">
        <v>1552</v>
      </c>
      <c r="B1296" s="51" t="s">
        <v>1969</v>
      </c>
      <c r="C1296" s="15" t="s">
        <v>1650</v>
      </c>
      <c r="D1296" s="15" t="s">
        <v>1653</v>
      </c>
      <c r="E1296" s="15" t="s">
        <v>658</v>
      </c>
      <c r="F1296" s="15" t="s">
        <v>1553</v>
      </c>
      <c r="G1296" s="18">
        <f>193.5-1.9-3</f>
        <v>188.6</v>
      </c>
    </row>
    <row r="1297" spans="1:7" ht="24">
      <c r="A1297" s="16" t="s">
        <v>24</v>
      </c>
      <c r="B1297" s="51" t="s">
        <v>1969</v>
      </c>
      <c r="C1297" s="15" t="s">
        <v>1650</v>
      </c>
      <c r="D1297" s="15" t="s">
        <v>1653</v>
      </c>
      <c r="E1297" s="15" t="s">
        <v>25</v>
      </c>
      <c r="F1297" s="15" t="s">
        <v>575</v>
      </c>
      <c r="G1297" s="18">
        <f>G1298</f>
        <v>357.7</v>
      </c>
    </row>
    <row r="1298" spans="1:7" ht="24">
      <c r="A1298" s="35" t="s">
        <v>842</v>
      </c>
      <c r="B1298" s="51" t="s">
        <v>1969</v>
      </c>
      <c r="C1298" s="15" t="s">
        <v>1650</v>
      </c>
      <c r="D1298" s="15" t="s">
        <v>1653</v>
      </c>
      <c r="E1298" s="15" t="s">
        <v>25</v>
      </c>
      <c r="F1298" s="15" t="s">
        <v>471</v>
      </c>
      <c r="G1298" s="18">
        <f>G1299</f>
        <v>357.7</v>
      </c>
    </row>
    <row r="1299" spans="1:7" ht="24">
      <c r="A1299" s="16" t="s">
        <v>1552</v>
      </c>
      <c r="B1299" s="51" t="s">
        <v>1969</v>
      </c>
      <c r="C1299" s="15" t="s">
        <v>1650</v>
      </c>
      <c r="D1299" s="15" t="s">
        <v>1653</v>
      </c>
      <c r="E1299" s="15" t="s">
        <v>25</v>
      </c>
      <c r="F1299" s="15" t="s">
        <v>1553</v>
      </c>
      <c r="G1299" s="18">
        <v>357.7</v>
      </c>
    </row>
    <row r="1300" spans="1:7" ht="24">
      <c r="A1300" s="16" t="s">
        <v>1973</v>
      </c>
      <c r="B1300" s="51" t="s">
        <v>1969</v>
      </c>
      <c r="C1300" s="15" t="s">
        <v>1650</v>
      </c>
      <c r="D1300" s="15" t="s">
        <v>1653</v>
      </c>
      <c r="E1300" s="15" t="s">
        <v>1974</v>
      </c>
      <c r="F1300" s="15" t="s">
        <v>575</v>
      </c>
      <c r="G1300" s="18">
        <f>G1301</f>
        <v>38.4</v>
      </c>
    </row>
    <row r="1301" spans="1:7" ht="24">
      <c r="A1301" s="35" t="s">
        <v>842</v>
      </c>
      <c r="B1301" s="51" t="s">
        <v>1969</v>
      </c>
      <c r="C1301" s="15" t="s">
        <v>1650</v>
      </c>
      <c r="D1301" s="15" t="s">
        <v>1653</v>
      </c>
      <c r="E1301" s="15" t="s">
        <v>1974</v>
      </c>
      <c r="F1301" s="15" t="s">
        <v>1553</v>
      </c>
      <c r="G1301" s="18">
        <f>G1302</f>
        <v>38.4</v>
      </c>
    </row>
    <row r="1302" spans="1:7" ht="24">
      <c r="A1302" s="16" t="s">
        <v>1552</v>
      </c>
      <c r="B1302" s="51" t="s">
        <v>1969</v>
      </c>
      <c r="C1302" s="15" t="s">
        <v>1650</v>
      </c>
      <c r="D1302" s="15" t="s">
        <v>1653</v>
      </c>
      <c r="E1302" s="15" t="s">
        <v>1974</v>
      </c>
      <c r="F1302" s="15" t="s">
        <v>471</v>
      </c>
      <c r="G1302" s="18">
        <v>38.4</v>
      </c>
    </row>
    <row r="1303" spans="1:7" ht="24">
      <c r="A1303" s="16" t="s">
        <v>496</v>
      </c>
      <c r="B1303" s="51" t="s">
        <v>1969</v>
      </c>
      <c r="C1303" s="15" t="s">
        <v>1650</v>
      </c>
      <c r="D1303" s="15" t="s">
        <v>1653</v>
      </c>
      <c r="E1303" s="15" t="s">
        <v>497</v>
      </c>
      <c r="F1303" s="15" t="s">
        <v>575</v>
      </c>
      <c r="G1303" s="18">
        <f>G1304</f>
        <v>38.4</v>
      </c>
    </row>
    <row r="1304" spans="1:7" ht="24">
      <c r="A1304" s="35" t="s">
        <v>842</v>
      </c>
      <c r="B1304" s="51" t="s">
        <v>1969</v>
      </c>
      <c r="C1304" s="15" t="s">
        <v>1650</v>
      </c>
      <c r="D1304" s="15" t="s">
        <v>1653</v>
      </c>
      <c r="E1304" s="15" t="s">
        <v>497</v>
      </c>
      <c r="F1304" s="15" t="s">
        <v>471</v>
      </c>
      <c r="G1304" s="18">
        <f>G1305</f>
        <v>38.4</v>
      </c>
    </row>
    <row r="1305" spans="1:7" ht="24">
      <c r="A1305" s="16" t="s">
        <v>1552</v>
      </c>
      <c r="B1305" s="51" t="s">
        <v>1969</v>
      </c>
      <c r="C1305" s="15" t="s">
        <v>1650</v>
      </c>
      <c r="D1305" s="15" t="s">
        <v>1653</v>
      </c>
      <c r="E1305" s="15" t="s">
        <v>497</v>
      </c>
      <c r="F1305" s="15" t="s">
        <v>1553</v>
      </c>
      <c r="G1305" s="18">
        <v>38.4</v>
      </c>
    </row>
    <row r="1306" spans="1:7" ht="24">
      <c r="A1306" s="16" t="s">
        <v>1051</v>
      </c>
      <c r="B1306" s="51" t="s">
        <v>1969</v>
      </c>
      <c r="C1306" s="15" t="s">
        <v>1650</v>
      </c>
      <c r="D1306" s="15" t="s">
        <v>1653</v>
      </c>
      <c r="E1306" s="15" t="s">
        <v>1052</v>
      </c>
      <c r="F1306" s="15" t="s">
        <v>575</v>
      </c>
      <c r="G1306" s="18">
        <f>G1307</f>
        <v>35.3</v>
      </c>
    </row>
    <row r="1307" spans="1:7" ht="24">
      <c r="A1307" s="35" t="s">
        <v>842</v>
      </c>
      <c r="B1307" s="51" t="s">
        <v>1969</v>
      </c>
      <c r="C1307" s="15" t="s">
        <v>1650</v>
      </c>
      <c r="D1307" s="15" t="s">
        <v>1653</v>
      </c>
      <c r="E1307" s="15" t="s">
        <v>1052</v>
      </c>
      <c r="F1307" s="15" t="s">
        <v>471</v>
      </c>
      <c r="G1307" s="18">
        <f>G1308</f>
        <v>35.3</v>
      </c>
    </row>
    <row r="1308" spans="1:7" ht="24">
      <c r="A1308" s="16" t="s">
        <v>1552</v>
      </c>
      <c r="B1308" s="51" t="s">
        <v>1969</v>
      </c>
      <c r="C1308" s="15" t="s">
        <v>1650</v>
      </c>
      <c r="D1308" s="15" t="s">
        <v>1653</v>
      </c>
      <c r="E1308" s="15" t="s">
        <v>1052</v>
      </c>
      <c r="F1308" s="15" t="s">
        <v>1553</v>
      </c>
      <c r="G1308" s="18">
        <v>35.3</v>
      </c>
    </row>
    <row r="1309" spans="1:7" ht="24">
      <c r="A1309" s="16" t="s">
        <v>731</v>
      </c>
      <c r="B1309" s="51" t="s">
        <v>1969</v>
      </c>
      <c r="C1309" s="15" t="s">
        <v>1650</v>
      </c>
      <c r="D1309" s="15" t="s">
        <v>1653</v>
      </c>
      <c r="E1309" s="15" t="s">
        <v>732</v>
      </c>
      <c r="F1309" s="15" t="s">
        <v>575</v>
      </c>
      <c r="G1309" s="18">
        <f>G1310</f>
        <v>20</v>
      </c>
    </row>
    <row r="1310" spans="1:7" ht="24">
      <c r="A1310" s="35" t="s">
        <v>842</v>
      </c>
      <c r="B1310" s="51" t="s">
        <v>1969</v>
      </c>
      <c r="C1310" s="15" t="s">
        <v>1650</v>
      </c>
      <c r="D1310" s="15" t="s">
        <v>1653</v>
      </c>
      <c r="E1310" s="15" t="s">
        <v>732</v>
      </c>
      <c r="F1310" s="15" t="s">
        <v>471</v>
      </c>
      <c r="G1310" s="18">
        <f>G1311</f>
        <v>20</v>
      </c>
    </row>
    <row r="1311" spans="1:7" ht="24">
      <c r="A1311" s="16" t="s">
        <v>1552</v>
      </c>
      <c r="B1311" s="51" t="s">
        <v>1969</v>
      </c>
      <c r="C1311" s="15" t="s">
        <v>1650</v>
      </c>
      <c r="D1311" s="15" t="s">
        <v>1653</v>
      </c>
      <c r="E1311" s="15" t="s">
        <v>732</v>
      </c>
      <c r="F1311" s="15" t="s">
        <v>1553</v>
      </c>
      <c r="G1311" s="18">
        <v>20</v>
      </c>
    </row>
    <row r="1312" spans="1:7" ht="24">
      <c r="A1312" s="16" t="s">
        <v>91</v>
      </c>
      <c r="B1312" s="51" t="s">
        <v>1969</v>
      </c>
      <c r="C1312" s="15" t="s">
        <v>1650</v>
      </c>
      <c r="D1312" s="15" t="s">
        <v>1653</v>
      </c>
      <c r="E1312" s="15" t="s">
        <v>92</v>
      </c>
      <c r="F1312" s="15" t="s">
        <v>575</v>
      </c>
      <c r="G1312" s="18">
        <f>G1313</f>
        <v>1820.6</v>
      </c>
    </row>
    <row r="1313" spans="1:7" ht="24">
      <c r="A1313" s="35" t="s">
        <v>842</v>
      </c>
      <c r="B1313" s="51" t="s">
        <v>1969</v>
      </c>
      <c r="C1313" s="15" t="s">
        <v>1650</v>
      </c>
      <c r="D1313" s="15" t="s">
        <v>1653</v>
      </c>
      <c r="E1313" s="15" t="s">
        <v>92</v>
      </c>
      <c r="F1313" s="15" t="s">
        <v>471</v>
      </c>
      <c r="G1313" s="18">
        <f>G1314</f>
        <v>1820.6</v>
      </c>
    </row>
    <row r="1314" spans="1:7" ht="24">
      <c r="A1314" s="16" t="s">
        <v>1552</v>
      </c>
      <c r="B1314" s="51" t="s">
        <v>1969</v>
      </c>
      <c r="C1314" s="15" t="s">
        <v>1650</v>
      </c>
      <c r="D1314" s="15" t="s">
        <v>1653</v>
      </c>
      <c r="E1314" s="15" t="s">
        <v>92</v>
      </c>
      <c r="F1314" s="15" t="s">
        <v>1553</v>
      </c>
      <c r="G1314" s="18">
        <f>1610.6+255-45</f>
        <v>1820.6</v>
      </c>
    </row>
    <row r="1315" spans="1:7" ht="36">
      <c r="A1315" s="16" t="s">
        <v>1904</v>
      </c>
      <c r="B1315" s="51" t="s">
        <v>1969</v>
      </c>
      <c r="C1315" s="15" t="s">
        <v>1650</v>
      </c>
      <c r="D1315" s="15" t="s">
        <v>1653</v>
      </c>
      <c r="E1315" s="15" t="s">
        <v>93</v>
      </c>
      <c r="F1315" s="15" t="s">
        <v>575</v>
      </c>
      <c r="G1315" s="18">
        <f>G1316</f>
        <v>30.7</v>
      </c>
    </row>
    <row r="1316" spans="1:7" ht="24">
      <c r="A1316" s="35" t="s">
        <v>842</v>
      </c>
      <c r="B1316" s="51" t="s">
        <v>1969</v>
      </c>
      <c r="C1316" s="15" t="s">
        <v>1650</v>
      </c>
      <c r="D1316" s="15" t="s">
        <v>1653</v>
      </c>
      <c r="E1316" s="15" t="s">
        <v>93</v>
      </c>
      <c r="F1316" s="15" t="s">
        <v>471</v>
      </c>
      <c r="G1316" s="18">
        <f>G1317</f>
        <v>30.7</v>
      </c>
    </row>
    <row r="1317" spans="1:7" ht="24">
      <c r="A1317" s="16" t="s">
        <v>1552</v>
      </c>
      <c r="B1317" s="51" t="s">
        <v>1969</v>
      </c>
      <c r="C1317" s="15" t="s">
        <v>1650</v>
      </c>
      <c r="D1317" s="15" t="s">
        <v>1653</v>
      </c>
      <c r="E1317" s="15" t="s">
        <v>93</v>
      </c>
      <c r="F1317" s="15" t="s">
        <v>1553</v>
      </c>
      <c r="G1317" s="18">
        <v>30.7</v>
      </c>
    </row>
    <row r="1318" spans="1:7" ht="24.75" customHeight="1" hidden="1">
      <c r="A1318" s="16" t="s">
        <v>260</v>
      </c>
      <c r="B1318" s="51" t="s">
        <v>1969</v>
      </c>
      <c r="C1318" s="15" t="s">
        <v>1650</v>
      </c>
      <c r="D1318" s="15" t="s">
        <v>1653</v>
      </c>
      <c r="E1318" s="15" t="s">
        <v>261</v>
      </c>
      <c r="F1318" s="15" t="s">
        <v>575</v>
      </c>
      <c r="G1318" s="18">
        <f>G1319</f>
        <v>0</v>
      </c>
    </row>
    <row r="1319" spans="1:7" ht="24.75" hidden="1">
      <c r="A1319" s="35" t="s">
        <v>842</v>
      </c>
      <c r="B1319" s="51" t="s">
        <v>1969</v>
      </c>
      <c r="C1319" s="15" t="s">
        <v>1650</v>
      </c>
      <c r="D1319" s="15" t="s">
        <v>1653</v>
      </c>
      <c r="E1319" s="15" t="s">
        <v>261</v>
      </c>
      <c r="F1319" s="15" t="s">
        <v>471</v>
      </c>
      <c r="G1319" s="18"/>
    </row>
    <row r="1320" spans="1:7" ht="24">
      <c r="A1320" s="16" t="s">
        <v>262</v>
      </c>
      <c r="B1320" s="51" t="s">
        <v>1969</v>
      </c>
      <c r="C1320" s="15" t="s">
        <v>1650</v>
      </c>
      <c r="D1320" s="15" t="s">
        <v>1653</v>
      </c>
      <c r="E1320" s="15" t="s">
        <v>263</v>
      </c>
      <c r="F1320" s="15" t="s">
        <v>575</v>
      </c>
      <c r="G1320" s="18">
        <f>G1321</f>
        <v>94</v>
      </c>
    </row>
    <row r="1321" spans="1:7" ht="24">
      <c r="A1321" s="35" t="s">
        <v>842</v>
      </c>
      <c r="B1321" s="51" t="s">
        <v>1969</v>
      </c>
      <c r="C1321" s="15" t="s">
        <v>1650</v>
      </c>
      <c r="D1321" s="15" t="s">
        <v>1653</v>
      </c>
      <c r="E1321" s="15" t="s">
        <v>263</v>
      </c>
      <c r="F1321" s="15" t="s">
        <v>471</v>
      </c>
      <c r="G1321" s="18">
        <f>G1322</f>
        <v>94</v>
      </c>
    </row>
    <row r="1322" spans="1:7" ht="24">
      <c r="A1322" s="16" t="s">
        <v>1552</v>
      </c>
      <c r="B1322" s="51" t="s">
        <v>1969</v>
      </c>
      <c r="C1322" s="15" t="s">
        <v>1650</v>
      </c>
      <c r="D1322" s="15" t="s">
        <v>1653</v>
      </c>
      <c r="E1322" s="15" t="s">
        <v>263</v>
      </c>
      <c r="F1322" s="15" t="s">
        <v>1553</v>
      </c>
      <c r="G1322" s="18">
        <f>301-255+48</f>
        <v>94</v>
      </c>
    </row>
    <row r="1323" spans="1:7" ht="24">
      <c r="A1323" s="16" t="s">
        <v>94</v>
      </c>
      <c r="B1323" s="51" t="s">
        <v>1969</v>
      </c>
      <c r="C1323" s="15" t="s">
        <v>1650</v>
      </c>
      <c r="D1323" s="15" t="s">
        <v>1653</v>
      </c>
      <c r="E1323" s="15" t="s">
        <v>264</v>
      </c>
      <c r="F1323" s="15" t="s">
        <v>575</v>
      </c>
      <c r="G1323" s="18">
        <f>G1324</f>
        <v>4648</v>
      </c>
    </row>
    <row r="1324" spans="1:7" ht="24">
      <c r="A1324" s="35" t="s">
        <v>842</v>
      </c>
      <c r="B1324" s="51" t="s">
        <v>1969</v>
      </c>
      <c r="C1324" s="15" t="s">
        <v>1650</v>
      </c>
      <c r="D1324" s="15" t="s">
        <v>1653</v>
      </c>
      <c r="E1324" s="15" t="s">
        <v>264</v>
      </c>
      <c r="F1324" s="15" t="s">
        <v>471</v>
      </c>
      <c r="G1324" s="18">
        <f>G1325</f>
        <v>4648</v>
      </c>
    </row>
    <row r="1325" spans="1:7" ht="24">
      <c r="A1325" s="16" t="s">
        <v>1552</v>
      </c>
      <c r="B1325" s="51" t="s">
        <v>1969</v>
      </c>
      <c r="C1325" s="15" t="s">
        <v>1650</v>
      </c>
      <c r="D1325" s="15" t="s">
        <v>1653</v>
      </c>
      <c r="E1325" s="15" t="s">
        <v>264</v>
      </c>
      <c r="F1325" s="15" t="s">
        <v>1553</v>
      </c>
      <c r="G1325" s="18">
        <f>4633+15</f>
        <v>4648</v>
      </c>
    </row>
    <row r="1326" spans="1:7" ht="24.75" hidden="1">
      <c r="A1326" s="16" t="s">
        <v>265</v>
      </c>
      <c r="B1326" s="51" t="s">
        <v>1969</v>
      </c>
      <c r="C1326" s="15" t="s">
        <v>1650</v>
      </c>
      <c r="D1326" s="15" t="s">
        <v>1653</v>
      </c>
      <c r="E1326" s="15" t="s">
        <v>1444</v>
      </c>
      <c r="F1326" s="15" t="s">
        <v>575</v>
      </c>
      <c r="G1326" s="18">
        <f>G1327</f>
        <v>0</v>
      </c>
    </row>
    <row r="1327" spans="1:7" ht="24.75" hidden="1">
      <c r="A1327" s="35" t="s">
        <v>842</v>
      </c>
      <c r="B1327" s="51" t="s">
        <v>1969</v>
      </c>
      <c r="C1327" s="15" t="s">
        <v>1650</v>
      </c>
      <c r="D1327" s="15" t="s">
        <v>1653</v>
      </c>
      <c r="E1327" s="15" t="s">
        <v>1444</v>
      </c>
      <c r="F1327" s="15" t="s">
        <v>471</v>
      </c>
      <c r="G1327" s="18"/>
    </row>
    <row r="1328" spans="1:7" ht="24.75" hidden="1">
      <c r="A1328" s="16" t="s">
        <v>1552</v>
      </c>
      <c r="B1328" s="51" t="s">
        <v>1969</v>
      </c>
      <c r="C1328" s="15" t="s">
        <v>1650</v>
      </c>
      <c r="D1328" s="15" t="s">
        <v>1653</v>
      </c>
      <c r="E1328" s="15" t="s">
        <v>1444</v>
      </c>
      <c r="F1328" s="15" t="s">
        <v>1553</v>
      </c>
      <c r="G1328" s="18"/>
    </row>
    <row r="1329" spans="1:7" ht="36.75" customHeight="1" hidden="1">
      <c r="A1329" s="16" t="s">
        <v>451</v>
      </c>
      <c r="B1329" s="51" t="s">
        <v>1969</v>
      </c>
      <c r="C1329" s="15" t="s">
        <v>1650</v>
      </c>
      <c r="D1329" s="15" t="s">
        <v>1653</v>
      </c>
      <c r="E1329" s="15" t="s">
        <v>452</v>
      </c>
      <c r="F1329" s="15"/>
      <c r="G1329" s="18">
        <f>G1330</f>
        <v>0</v>
      </c>
    </row>
    <row r="1330" spans="1:7" ht="21" customHeight="1" hidden="1">
      <c r="A1330" s="16" t="s">
        <v>997</v>
      </c>
      <c r="B1330" s="51" t="s">
        <v>1969</v>
      </c>
      <c r="C1330" s="15" t="s">
        <v>1650</v>
      </c>
      <c r="D1330" s="15" t="s">
        <v>1653</v>
      </c>
      <c r="E1330" s="15" t="s">
        <v>452</v>
      </c>
      <c r="F1330" s="15" t="s">
        <v>105</v>
      </c>
      <c r="G1330" s="18"/>
    </row>
    <row r="1331" spans="1:7" ht="24">
      <c r="A1331" s="16" t="s">
        <v>508</v>
      </c>
      <c r="B1331" s="51" t="s">
        <v>1969</v>
      </c>
      <c r="C1331" s="15" t="s">
        <v>1650</v>
      </c>
      <c r="D1331" s="15" t="s">
        <v>1653</v>
      </c>
      <c r="E1331" s="15" t="s">
        <v>507</v>
      </c>
      <c r="F1331" s="15" t="s">
        <v>575</v>
      </c>
      <c r="G1331" s="18">
        <f>G1332</f>
        <v>3500</v>
      </c>
    </row>
    <row r="1332" spans="1:7" ht="24">
      <c r="A1332" s="35" t="s">
        <v>842</v>
      </c>
      <c r="B1332" s="51" t="s">
        <v>1969</v>
      </c>
      <c r="C1332" s="15" t="s">
        <v>1650</v>
      </c>
      <c r="D1332" s="15" t="s">
        <v>1653</v>
      </c>
      <c r="E1332" s="15" t="s">
        <v>507</v>
      </c>
      <c r="F1332" s="15" t="s">
        <v>471</v>
      </c>
      <c r="G1332" s="18">
        <f>G1333</f>
        <v>3500</v>
      </c>
    </row>
    <row r="1333" spans="1:7" ht="24">
      <c r="A1333" s="16" t="s">
        <v>1552</v>
      </c>
      <c r="B1333" s="51" t="s">
        <v>1969</v>
      </c>
      <c r="C1333" s="15" t="s">
        <v>1650</v>
      </c>
      <c r="D1333" s="15" t="s">
        <v>1653</v>
      </c>
      <c r="E1333" s="15" t="s">
        <v>507</v>
      </c>
      <c r="F1333" s="15" t="s">
        <v>1553</v>
      </c>
      <c r="G1333" s="18">
        <f>3000+500</f>
        <v>3500</v>
      </c>
    </row>
    <row r="1334" spans="1:7" ht="24.75" hidden="1">
      <c r="A1334" s="16" t="s">
        <v>924</v>
      </c>
      <c r="B1334" s="51" t="s">
        <v>1969</v>
      </c>
      <c r="C1334" s="15" t="s">
        <v>1650</v>
      </c>
      <c r="D1334" s="15" t="s">
        <v>1653</v>
      </c>
      <c r="E1334" s="15" t="s">
        <v>705</v>
      </c>
      <c r="F1334" s="15" t="s">
        <v>575</v>
      </c>
      <c r="G1334" s="18">
        <f>G1335</f>
        <v>0</v>
      </c>
    </row>
    <row r="1335" spans="1:7" ht="24.75" hidden="1">
      <c r="A1335" s="35" t="s">
        <v>842</v>
      </c>
      <c r="B1335" s="51" t="s">
        <v>1969</v>
      </c>
      <c r="C1335" s="15" t="s">
        <v>1650</v>
      </c>
      <c r="D1335" s="15" t="s">
        <v>1653</v>
      </c>
      <c r="E1335" s="15" t="s">
        <v>705</v>
      </c>
      <c r="F1335" s="15" t="s">
        <v>471</v>
      </c>
      <c r="G1335" s="18"/>
    </row>
    <row r="1336" spans="1:7" ht="24">
      <c r="A1336" s="30" t="s">
        <v>661</v>
      </c>
      <c r="B1336" s="51" t="s">
        <v>1969</v>
      </c>
      <c r="C1336" s="15" t="s">
        <v>1650</v>
      </c>
      <c r="D1336" s="15" t="s">
        <v>1653</v>
      </c>
      <c r="E1336" s="15" t="s">
        <v>268</v>
      </c>
      <c r="F1336" s="15"/>
      <c r="G1336" s="18">
        <f>G1337</f>
        <v>466</v>
      </c>
    </row>
    <row r="1337" spans="1:7" ht="24">
      <c r="A1337" s="16" t="s">
        <v>745</v>
      </c>
      <c r="B1337" s="51" t="s">
        <v>1969</v>
      </c>
      <c r="C1337" s="15" t="s">
        <v>1650</v>
      </c>
      <c r="D1337" s="15" t="s">
        <v>1653</v>
      </c>
      <c r="E1337" s="15" t="s">
        <v>268</v>
      </c>
      <c r="F1337" s="15" t="s">
        <v>575</v>
      </c>
      <c r="G1337" s="18">
        <f>G1338</f>
        <v>466</v>
      </c>
    </row>
    <row r="1338" spans="1:7" ht="60">
      <c r="A1338" s="143" t="s">
        <v>785</v>
      </c>
      <c r="B1338" s="51" t="s">
        <v>1969</v>
      </c>
      <c r="C1338" s="15" t="s">
        <v>1650</v>
      </c>
      <c r="D1338" s="15" t="s">
        <v>1653</v>
      </c>
      <c r="E1338" s="15" t="s">
        <v>746</v>
      </c>
      <c r="F1338" s="15"/>
      <c r="G1338" s="18">
        <f>G1339</f>
        <v>466</v>
      </c>
    </row>
    <row r="1339" spans="1:7" ht="24">
      <c r="A1339" s="16" t="s">
        <v>1430</v>
      </c>
      <c r="B1339" s="51" t="s">
        <v>1969</v>
      </c>
      <c r="C1339" s="15" t="s">
        <v>1650</v>
      </c>
      <c r="D1339" s="15" t="s">
        <v>1653</v>
      </c>
      <c r="E1339" s="15" t="s">
        <v>746</v>
      </c>
      <c r="F1339" s="15" t="s">
        <v>1031</v>
      </c>
      <c r="G1339" s="18">
        <v>466</v>
      </c>
    </row>
    <row r="1340" spans="1:7" ht="15.75" customHeight="1" hidden="1">
      <c r="A1340" s="31" t="s">
        <v>1626</v>
      </c>
      <c r="B1340" s="51" t="s">
        <v>1969</v>
      </c>
      <c r="C1340" s="15" t="s">
        <v>1650</v>
      </c>
      <c r="D1340" s="15" t="s">
        <v>1653</v>
      </c>
      <c r="E1340" s="15" t="s">
        <v>1965</v>
      </c>
      <c r="F1340" s="15"/>
      <c r="G1340" s="18">
        <f>G1341</f>
        <v>0</v>
      </c>
    </row>
    <row r="1341" spans="1:7" ht="28.5" customHeight="1" hidden="1">
      <c r="A1341" s="16" t="s">
        <v>266</v>
      </c>
      <c r="B1341" s="51" t="s">
        <v>1969</v>
      </c>
      <c r="C1341" s="15" t="s">
        <v>1650</v>
      </c>
      <c r="D1341" s="15" t="s">
        <v>1653</v>
      </c>
      <c r="E1341" s="15" t="s">
        <v>1965</v>
      </c>
      <c r="F1341" s="15" t="s">
        <v>506</v>
      </c>
      <c r="G1341" s="18"/>
    </row>
    <row r="1342" spans="1:7" ht="24.75" hidden="1">
      <c r="A1342" s="16" t="s">
        <v>513</v>
      </c>
      <c r="B1342" s="51" t="s">
        <v>1969</v>
      </c>
      <c r="C1342" s="15" t="s">
        <v>1650</v>
      </c>
      <c r="D1342" s="15" t="s">
        <v>1653</v>
      </c>
      <c r="E1342" s="15" t="s">
        <v>746</v>
      </c>
      <c r="F1342" s="15" t="s">
        <v>514</v>
      </c>
      <c r="G1342" s="18"/>
    </row>
    <row r="1343" spans="1:7" ht="19.5" customHeight="1" hidden="1">
      <c r="A1343" s="16" t="s">
        <v>1526</v>
      </c>
      <c r="B1343" s="51" t="s">
        <v>1969</v>
      </c>
      <c r="C1343" s="15" t="s">
        <v>1650</v>
      </c>
      <c r="D1343" s="15" t="s">
        <v>1653</v>
      </c>
      <c r="E1343" s="15" t="s">
        <v>962</v>
      </c>
      <c r="F1343" s="15" t="s">
        <v>105</v>
      </c>
      <c r="G1343" s="18"/>
    </row>
    <row r="1344" spans="1:7" ht="24">
      <c r="A1344" s="16" t="s">
        <v>266</v>
      </c>
      <c r="B1344" s="51" t="s">
        <v>1969</v>
      </c>
      <c r="C1344" s="15" t="s">
        <v>1650</v>
      </c>
      <c r="D1344" s="15" t="s">
        <v>1653</v>
      </c>
      <c r="E1344" s="15" t="s">
        <v>1149</v>
      </c>
      <c r="F1344" s="15" t="s">
        <v>575</v>
      </c>
      <c r="G1344" s="18">
        <f>G1345+G1348+G1353+G1351</f>
        <v>60425.9</v>
      </c>
    </row>
    <row r="1345" spans="1:7" ht="48">
      <c r="A1345" s="35" t="s">
        <v>174</v>
      </c>
      <c r="B1345" s="51" t="s">
        <v>1969</v>
      </c>
      <c r="C1345" s="15" t="s">
        <v>1650</v>
      </c>
      <c r="D1345" s="15" t="s">
        <v>1653</v>
      </c>
      <c r="E1345" s="15" t="s">
        <v>647</v>
      </c>
      <c r="F1345" s="15"/>
      <c r="G1345" s="53">
        <f>G1346</f>
        <v>2221.5</v>
      </c>
    </row>
    <row r="1346" spans="1:7" ht="36">
      <c r="A1346" s="16" t="s">
        <v>175</v>
      </c>
      <c r="B1346" s="51" t="s">
        <v>1969</v>
      </c>
      <c r="C1346" s="15" t="s">
        <v>1650</v>
      </c>
      <c r="D1346" s="15" t="s">
        <v>1653</v>
      </c>
      <c r="E1346" s="15" t="s">
        <v>596</v>
      </c>
      <c r="F1346" s="15" t="s">
        <v>575</v>
      </c>
      <c r="G1346" s="53">
        <f>G1347</f>
        <v>2221.5</v>
      </c>
    </row>
    <row r="1347" spans="1:7" ht="24">
      <c r="A1347" s="16" t="s">
        <v>235</v>
      </c>
      <c r="B1347" s="51" t="s">
        <v>1969</v>
      </c>
      <c r="C1347" s="15" t="s">
        <v>1650</v>
      </c>
      <c r="D1347" s="15" t="s">
        <v>1653</v>
      </c>
      <c r="E1347" s="15" t="s">
        <v>596</v>
      </c>
      <c r="F1347" s="15" t="s">
        <v>88</v>
      </c>
      <c r="G1347" s="34">
        <v>2221.5</v>
      </c>
    </row>
    <row r="1348" spans="1:7" ht="24">
      <c r="A1348" s="16" t="s">
        <v>963</v>
      </c>
      <c r="B1348" s="51" t="s">
        <v>1969</v>
      </c>
      <c r="C1348" s="15" t="s">
        <v>1650</v>
      </c>
      <c r="D1348" s="15" t="s">
        <v>1653</v>
      </c>
      <c r="E1348" s="15" t="s">
        <v>804</v>
      </c>
      <c r="F1348" s="15" t="s">
        <v>575</v>
      </c>
      <c r="G1348" s="18">
        <f>G1349</f>
        <v>2561.4</v>
      </c>
    </row>
    <row r="1349" spans="1:7" ht="24">
      <c r="A1349" s="169" t="s">
        <v>232</v>
      </c>
      <c r="B1349" s="51" t="s">
        <v>1969</v>
      </c>
      <c r="C1349" s="15" t="s">
        <v>1650</v>
      </c>
      <c r="D1349" s="15" t="s">
        <v>1653</v>
      </c>
      <c r="E1349" s="15" t="s">
        <v>804</v>
      </c>
      <c r="F1349" s="15" t="s">
        <v>233</v>
      </c>
      <c r="G1349" s="18">
        <f>G1350</f>
        <v>2561.4</v>
      </c>
    </row>
    <row r="1350" spans="1:7" ht="24">
      <c r="A1350" s="16" t="s">
        <v>235</v>
      </c>
      <c r="B1350" s="51" t="s">
        <v>1969</v>
      </c>
      <c r="C1350" s="15" t="s">
        <v>1650</v>
      </c>
      <c r="D1350" s="15" t="s">
        <v>1653</v>
      </c>
      <c r="E1350" s="15" t="s">
        <v>804</v>
      </c>
      <c r="F1350" s="15" t="s">
        <v>88</v>
      </c>
      <c r="G1350" s="18">
        <f>1230.4+1331</f>
        <v>2561.4</v>
      </c>
    </row>
    <row r="1351" spans="1:7" ht="36">
      <c r="A1351" s="16" t="s">
        <v>282</v>
      </c>
      <c r="B1351" s="51" t="s">
        <v>1969</v>
      </c>
      <c r="C1351" s="15" t="s">
        <v>1650</v>
      </c>
      <c r="D1351" s="15" t="s">
        <v>1653</v>
      </c>
      <c r="E1351" s="15" t="s">
        <v>283</v>
      </c>
      <c r="F1351" s="15"/>
      <c r="G1351" s="18">
        <f>G1352</f>
        <v>20042</v>
      </c>
    </row>
    <row r="1352" spans="1:7" ht="24">
      <c r="A1352" s="16" t="s">
        <v>843</v>
      </c>
      <c r="B1352" s="51" t="s">
        <v>1969</v>
      </c>
      <c r="C1352" s="15" t="s">
        <v>1650</v>
      </c>
      <c r="D1352" s="15" t="s">
        <v>1653</v>
      </c>
      <c r="E1352" s="15" t="s">
        <v>283</v>
      </c>
      <c r="F1352" s="15" t="s">
        <v>844</v>
      </c>
      <c r="G1352" s="18">
        <v>20042</v>
      </c>
    </row>
    <row r="1353" spans="1:7" ht="31.5" customHeight="1">
      <c r="A1353" s="16" t="s">
        <v>266</v>
      </c>
      <c r="B1353" s="51" t="s">
        <v>1969</v>
      </c>
      <c r="C1353" s="15" t="s">
        <v>1650</v>
      </c>
      <c r="D1353" s="15" t="s">
        <v>1653</v>
      </c>
      <c r="E1353" s="15" t="s">
        <v>1100</v>
      </c>
      <c r="F1353" s="15" t="s">
        <v>575</v>
      </c>
      <c r="G1353" s="53">
        <f>G1354</f>
        <v>35601</v>
      </c>
    </row>
    <row r="1354" spans="1:7" ht="24">
      <c r="A1354" s="169" t="s">
        <v>232</v>
      </c>
      <c r="B1354" s="51" t="s">
        <v>1969</v>
      </c>
      <c r="C1354" s="15" t="s">
        <v>1650</v>
      </c>
      <c r="D1354" s="15" t="s">
        <v>1653</v>
      </c>
      <c r="E1354" s="15" t="s">
        <v>1100</v>
      </c>
      <c r="F1354" s="15" t="s">
        <v>233</v>
      </c>
      <c r="G1354" s="34">
        <f>G1355</f>
        <v>35601</v>
      </c>
    </row>
    <row r="1355" spans="1:7" ht="24">
      <c r="A1355" s="16" t="s">
        <v>843</v>
      </c>
      <c r="B1355" s="51" t="s">
        <v>1969</v>
      </c>
      <c r="C1355" s="15" t="s">
        <v>1650</v>
      </c>
      <c r="D1355" s="15" t="s">
        <v>1653</v>
      </c>
      <c r="E1355" s="15" t="s">
        <v>1100</v>
      </c>
      <c r="F1355" s="15" t="s">
        <v>844</v>
      </c>
      <c r="G1355" s="34">
        <v>35601</v>
      </c>
    </row>
    <row r="1356" spans="1:7" ht="24.75" hidden="1">
      <c r="A1356" s="16" t="s">
        <v>963</v>
      </c>
      <c r="B1356" s="51" t="s">
        <v>1969</v>
      </c>
      <c r="C1356" s="15" t="s">
        <v>1650</v>
      </c>
      <c r="D1356" s="15" t="s">
        <v>1653</v>
      </c>
      <c r="E1356" s="15" t="s">
        <v>234</v>
      </c>
      <c r="F1356" s="15" t="s">
        <v>575</v>
      </c>
      <c r="G1356" s="18" t="s">
        <v>980</v>
      </c>
    </row>
    <row r="1357" spans="1:7" ht="24.75" hidden="1">
      <c r="A1357" s="35" t="s">
        <v>232</v>
      </c>
      <c r="B1357" s="51" t="s">
        <v>1969</v>
      </c>
      <c r="C1357" s="15" t="s">
        <v>1650</v>
      </c>
      <c r="D1357" s="15" t="s">
        <v>1653</v>
      </c>
      <c r="E1357" s="15" t="s">
        <v>234</v>
      </c>
      <c r="F1357" s="15" t="s">
        <v>233</v>
      </c>
      <c r="G1357" s="18"/>
    </row>
    <row r="1358" spans="1:7" ht="24.75" hidden="1">
      <c r="A1358" s="16" t="s">
        <v>235</v>
      </c>
      <c r="B1358" s="51" t="s">
        <v>1969</v>
      </c>
      <c r="C1358" s="15" t="s">
        <v>1650</v>
      </c>
      <c r="D1358" s="15" t="s">
        <v>1653</v>
      </c>
      <c r="E1358" s="15" t="s">
        <v>234</v>
      </c>
      <c r="F1358" s="15" t="s">
        <v>88</v>
      </c>
      <c r="G1358" s="18"/>
    </row>
    <row r="1359" spans="1:7" ht="15">
      <c r="A1359" s="31" t="s">
        <v>1664</v>
      </c>
      <c r="B1359" s="51" t="s">
        <v>1969</v>
      </c>
      <c r="C1359" s="15" t="s">
        <v>1650</v>
      </c>
      <c r="D1359" s="15" t="s">
        <v>1653</v>
      </c>
      <c r="E1359" s="15" t="s">
        <v>1663</v>
      </c>
      <c r="F1359" s="15"/>
      <c r="G1359" s="18">
        <f>G1360+G1365+G1367+G1369</f>
        <v>9791.5</v>
      </c>
    </row>
    <row r="1360" spans="1:7" ht="24">
      <c r="A1360" s="142" t="s">
        <v>1534</v>
      </c>
      <c r="B1360" s="51" t="s">
        <v>1969</v>
      </c>
      <c r="C1360" s="15" t="s">
        <v>1650</v>
      </c>
      <c r="D1360" s="15" t="s">
        <v>1653</v>
      </c>
      <c r="E1360" s="15" t="s">
        <v>483</v>
      </c>
      <c r="F1360" s="15" t="s">
        <v>575</v>
      </c>
      <c r="G1360" s="18">
        <f>G1361</f>
        <v>3984</v>
      </c>
    </row>
    <row r="1361" spans="1:7" ht="24">
      <c r="A1361" s="35" t="s">
        <v>232</v>
      </c>
      <c r="B1361" s="51" t="s">
        <v>1969</v>
      </c>
      <c r="C1361" s="15" t="s">
        <v>1650</v>
      </c>
      <c r="D1361" s="15" t="s">
        <v>1653</v>
      </c>
      <c r="E1361" s="15" t="s">
        <v>483</v>
      </c>
      <c r="F1361" s="15" t="s">
        <v>233</v>
      </c>
      <c r="G1361" s="18">
        <f>G1362+G1363+G1364</f>
        <v>3984</v>
      </c>
    </row>
    <row r="1362" spans="1:7" ht="28.5" customHeight="1">
      <c r="A1362" s="142" t="s">
        <v>1511</v>
      </c>
      <c r="B1362" s="51" t="s">
        <v>1969</v>
      </c>
      <c r="C1362" s="15" t="s">
        <v>1650</v>
      </c>
      <c r="D1362" s="15" t="s">
        <v>1653</v>
      </c>
      <c r="E1362" s="15" t="s">
        <v>483</v>
      </c>
      <c r="F1362" s="15" t="s">
        <v>1553</v>
      </c>
      <c r="G1362" s="18">
        <v>3000</v>
      </c>
    </row>
    <row r="1363" spans="1:7" ht="33.75" customHeight="1">
      <c r="A1363" s="143" t="s">
        <v>585</v>
      </c>
      <c r="B1363" s="51" t="s">
        <v>1969</v>
      </c>
      <c r="C1363" s="15" t="s">
        <v>1650</v>
      </c>
      <c r="D1363" s="15" t="s">
        <v>1653</v>
      </c>
      <c r="E1363" s="15" t="s">
        <v>483</v>
      </c>
      <c r="F1363" s="15" t="s">
        <v>1031</v>
      </c>
      <c r="G1363" s="18">
        <v>250</v>
      </c>
    </row>
    <row r="1364" spans="1:7" ht="51.75" customHeight="1">
      <c r="A1364" s="143" t="s">
        <v>903</v>
      </c>
      <c r="B1364" s="51" t="s">
        <v>1969</v>
      </c>
      <c r="C1364" s="15" t="s">
        <v>1650</v>
      </c>
      <c r="D1364" s="15" t="s">
        <v>1653</v>
      </c>
      <c r="E1364" s="15" t="s">
        <v>483</v>
      </c>
      <c r="F1364" s="15" t="s">
        <v>1031</v>
      </c>
      <c r="G1364" s="18">
        <v>734</v>
      </c>
    </row>
    <row r="1365" spans="1:7" ht="31.5" customHeight="1">
      <c r="A1365" s="16" t="s">
        <v>1509</v>
      </c>
      <c r="B1365" s="51" t="s">
        <v>1969</v>
      </c>
      <c r="C1365" s="15" t="s">
        <v>1650</v>
      </c>
      <c r="D1365" s="15" t="s">
        <v>1653</v>
      </c>
      <c r="E1365" s="15" t="s">
        <v>482</v>
      </c>
      <c r="F1365" s="15" t="s">
        <v>575</v>
      </c>
      <c r="G1365" s="18">
        <f>G1366</f>
        <v>3200</v>
      </c>
    </row>
    <row r="1366" spans="1:7" ht="15.75" customHeight="1">
      <c r="A1366" s="16" t="s">
        <v>235</v>
      </c>
      <c r="B1366" s="51" t="s">
        <v>1969</v>
      </c>
      <c r="C1366" s="15" t="s">
        <v>1650</v>
      </c>
      <c r="D1366" s="15" t="s">
        <v>1653</v>
      </c>
      <c r="E1366" s="15" t="s">
        <v>482</v>
      </c>
      <c r="F1366" s="15" t="s">
        <v>88</v>
      </c>
      <c r="G1366" s="18">
        <v>3200</v>
      </c>
    </row>
    <row r="1367" spans="1:7" ht="50.25" customHeight="1">
      <c r="A1367" s="201" t="s">
        <v>41</v>
      </c>
      <c r="B1367" s="51" t="s">
        <v>1969</v>
      </c>
      <c r="C1367" s="15" t="s">
        <v>1650</v>
      </c>
      <c r="D1367" s="15" t="s">
        <v>1653</v>
      </c>
      <c r="E1367" s="15" t="s">
        <v>1128</v>
      </c>
      <c r="F1367" s="15" t="s">
        <v>575</v>
      </c>
      <c r="G1367" s="18">
        <f>G1368</f>
        <v>2221.5000000000005</v>
      </c>
    </row>
    <row r="1368" spans="1:7" ht="22.5" customHeight="1">
      <c r="A1368" s="16" t="s">
        <v>235</v>
      </c>
      <c r="B1368" s="51" t="s">
        <v>1969</v>
      </c>
      <c r="C1368" s="15" t="s">
        <v>1650</v>
      </c>
      <c r="D1368" s="15" t="s">
        <v>1653</v>
      </c>
      <c r="E1368" s="15" t="s">
        <v>1128</v>
      </c>
      <c r="F1368" s="15" t="s">
        <v>88</v>
      </c>
      <c r="G1368" s="18">
        <f>2321.3+342.4-442.2</f>
        <v>2221.5000000000005</v>
      </c>
    </row>
    <row r="1369" spans="1:7" ht="30" customHeight="1">
      <c r="A1369" s="16" t="s">
        <v>1448</v>
      </c>
      <c r="B1369" s="51" t="s">
        <v>1969</v>
      </c>
      <c r="C1369" s="15" t="s">
        <v>1650</v>
      </c>
      <c r="D1369" s="15" t="s">
        <v>1653</v>
      </c>
      <c r="E1369" s="15" t="s">
        <v>1449</v>
      </c>
      <c r="F1369" s="15" t="s">
        <v>575</v>
      </c>
      <c r="G1369" s="18">
        <f>G1370</f>
        <v>386</v>
      </c>
    </row>
    <row r="1370" spans="1:7" ht="21" customHeight="1">
      <c r="A1370" s="16" t="s">
        <v>235</v>
      </c>
      <c r="B1370" s="51" t="s">
        <v>1969</v>
      </c>
      <c r="C1370" s="15" t="s">
        <v>1650</v>
      </c>
      <c r="D1370" s="15" t="s">
        <v>1653</v>
      </c>
      <c r="E1370" s="15" t="s">
        <v>1449</v>
      </c>
      <c r="F1370" s="15" t="s">
        <v>88</v>
      </c>
      <c r="G1370" s="18">
        <v>386</v>
      </c>
    </row>
    <row r="1371" spans="1:7" ht="18.75" customHeight="1" hidden="1">
      <c r="A1371" s="29" t="s">
        <v>964</v>
      </c>
      <c r="B1371" s="51" t="s">
        <v>1969</v>
      </c>
      <c r="C1371" s="15" t="s">
        <v>1650</v>
      </c>
      <c r="D1371" s="15" t="s">
        <v>439</v>
      </c>
      <c r="E1371" s="145"/>
      <c r="F1371" s="15"/>
      <c r="G1371" s="18">
        <f>G1372</f>
        <v>0</v>
      </c>
    </row>
    <row r="1372" spans="1:7" ht="15.75" customHeight="1" hidden="1">
      <c r="A1372" s="31" t="s">
        <v>1145</v>
      </c>
      <c r="B1372" s="51" t="s">
        <v>1969</v>
      </c>
      <c r="C1372" s="15" t="s">
        <v>1650</v>
      </c>
      <c r="D1372" s="15" t="s">
        <v>439</v>
      </c>
      <c r="E1372" s="172" t="s">
        <v>1144</v>
      </c>
      <c r="F1372" s="15"/>
      <c r="G1372" s="18">
        <f>G1373</f>
        <v>0</v>
      </c>
    </row>
    <row r="1373" spans="1:7" ht="42" customHeight="1" hidden="1">
      <c r="A1373" s="35" t="s">
        <v>758</v>
      </c>
      <c r="B1373" s="51" t="s">
        <v>1969</v>
      </c>
      <c r="C1373" s="15" t="s">
        <v>1650</v>
      </c>
      <c r="D1373" s="15" t="s">
        <v>439</v>
      </c>
      <c r="E1373" s="15" t="s">
        <v>734</v>
      </c>
      <c r="F1373" s="15" t="s">
        <v>575</v>
      </c>
      <c r="G1373" s="18">
        <f>G1374</f>
        <v>0</v>
      </c>
    </row>
    <row r="1374" spans="1:7" ht="18" customHeight="1" hidden="1">
      <c r="A1374" s="35" t="s">
        <v>166</v>
      </c>
      <c r="B1374" s="51" t="s">
        <v>1969</v>
      </c>
      <c r="C1374" s="15" t="s">
        <v>1650</v>
      </c>
      <c r="D1374" s="15" t="s">
        <v>439</v>
      </c>
      <c r="E1374" s="15" t="s">
        <v>734</v>
      </c>
      <c r="F1374" s="15" t="s">
        <v>738</v>
      </c>
      <c r="G1374" s="18"/>
    </row>
    <row r="1375" spans="1:7" ht="23.25" customHeight="1" hidden="1">
      <c r="A1375" s="22" t="s">
        <v>1573</v>
      </c>
      <c r="B1375" s="51" t="s">
        <v>1969</v>
      </c>
      <c r="C1375" s="32" t="s">
        <v>98</v>
      </c>
      <c r="D1375" s="21"/>
      <c r="E1375" s="21"/>
      <c r="F1375" s="21"/>
      <c r="G1375" s="18">
        <f>G1376</f>
        <v>0</v>
      </c>
    </row>
    <row r="1376" spans="1:7" ht="26.25" customHeight="1" hidden="1">
      <c r="A1376" s="29" t="s">
        <v>1574</v>
      </c>
      <c r="B1376" s="51" t="s">
        <v>1969</v>
      </c>
      <c r="C1376" s="25" t="s">
        <v>98</v>
      </c>
      <c r="D1376" s="25" t="s">
        <v>1624</v>
      </c>
      <c r="E1376" s="25"/>
      <c r="F1376" s="25"/>
      <c r="G1376" s="18">
        <f>G1377</f>
        <v>0</v>
      </c>
    </row>
    <row r="1377" spans="1:7" ht="24" customHeight="1" hidden="1">
      <c r="A1377" s="197" t="s">
        <v>645</v>
      </c>
      <c r="B1377" s="51" t="s">
        <v>1969</v>
      </c>
      <c r="C1377" s="15" t="s">
        <v>98</v>
      </c>
      <c r="D1377" s="15" t="s">
        <v>1624</v>
      </c>
      <c r="E1377" s="15" t="s">
        <v>102</v>
      </c>
      <c r="F1377" s="15"/>
      <c r="G1377" s="18">
        <f>G1378</f>
        <v>0</v>
      </c>
    </row>
    <row r="1378" spans="1:7" ht="34.5" customHeight="1" hidden="1">
      <c r="A1378" s="195" t="s">
        <v>1892</v>
      </c>
      <c r="B1378" s="51" t="s">
        <v>1969</v>
      </c>
      <c r="C1378" s="15" t="s">
        <v>98</v>
      </c>
      <c r="D1378" s="15" t="s">
        <v>1624</v>
      </c>
      <c r="E1378" s="15" t="s">
        <v>15</v>
      </c>
      <c r="F1378" s="15" t="s">
        <v>575</v>
      </c>
      <c r="G1378" s="18">
        <f>G1379</f>
        <v>0</v>
      </c>
    </row>
    <row r="1379" spans="1:7" ht="18.75" customHeight="1" hidden="1">
      <c r="A1379" s="195" t="s">
        <v>1142</v>
      </c>
      <c r="B1379" s="51" t="s">
        <v>1969</v>
      </c>
      <c r="C1379" s="15" t="s">
        <v>98</v>
      </c>
      <c r="D1379" s="15" t="s">
        <v>1624</v>
      </c>
      <c r="E1379" s="15" t="s">
        <v>15</v>
      </c>
      <c r="F1379" s="15" t="s">
        <v>167</v>
      </c>
      <c r="G1379" s="18"/>
    </row>
    <row r="1380" spans="1:7" ht="22.5" customHeight="1" hidden="1">
      <c r="A1380" s="30" t="s">
        <v>1438</v>
      </c>
      <c r="B1380" s="51" t="s">
        <v>1969</v>
      </c>
      <c r="C1380" s="25" t="s">
        <v>98</v>
      </c>
      <c r="D1380" s="25" t="s">
        <v>1624</v>
      </c>
      <c r="E1380" s="15" t="s">
        <v>1439</v>
      </c>
      <c r="F1380" s="15"/>
      <c r="G1380" s="18">
        <f>G1381</f>
        <v>0</v>
      </c>
    </row>
    <row r="1381" spans="1:7" ht="19.5" customHeight="1" hidden="1">
      <c r="A1381" s="16" t="s">
        <v>2002</v>
      </c>
      <c r="B1381" s="51" t="s">
        <v>1969</v>
      </c>
      <c r="C1381" s="25" t="s">
        <v>98</v>
      </c>
      <c r="D1381" s="25" t="s">
        <v>1624</v>
      </c>
      <c r="E1381" s="15" t="s">
        <v>119</v>
      </c>
      <c r="F1381" s="15" t="s">
        <v>575</v>
      </c>
      <c r="G1381" s="18">
        <f>G1383</f>
        <v>0</v>
      </c>
    </row>
    <row r="1382" spans="1:7" ht="22.5" customHeight="1" hidden="1">
      <c r="A1382" s="16" t="s">
        <v>359</v>
      </c>
      <c r="B1382" s="51" t="s">
        <v>1969</v>
      </c>
      <c r="C1382" s="25" t="s">
        <v>98</v>
      </c>
      <c r="D1382" s="25" t="s">
        <v>1624</v>
      </c>
      <c r="E1382" s="15" t="s">
        <v>119</v>
      </c>
      <c r="F1382" s="15" t="s">
        <v>360</v>
      </c>
      <c r="G1382" s="18"/>
    </row>
    <row r="1383" spans="1:7" ht="23.25" customHeight="1" hidden="1">
      <c r="A1383" s="16" t="s">
        <v>955</v>
      </c>
      <c r="B1383" s="51" t="s">
        <v>1969</v>
      </c>
      <c r="C1383" s="25" t="s">
        <v>98</v>
      </c>
      <c r="D1383" s="25" t="s">
        <v>1624</v>
      </c>
      <c r="E1383" s="15" t="s">
        <v>119</v>
      </c>
      <c r="F1383" s="15" t="s">
        <v>956</v>
      </c>
      <c r="G1383" s="18">
        <f>25437+46395-71832</f>
        <v>0</v>
      </c>
    </row>
    <row r="1384" spans="1:7" ht="15" customHeight="1">
      <c r="A1384" s="29" t="s">
        <v>964</v>
      </c>
      <c r="B1384" s="51" t="s">
        <v>1969</v>
      </c>
      <c r="C1384" s="15" t="s">
        <v>1650</v>
      </c>
      <c r="D1384" s="15" t="s">
        <v>439</v>
      </c>
      <c r="E1384" s="15"/>
      <c r="F1384" s="15"/>
      <c r="G1384" s="18">
        <f>G1385</f>
        <v>8842</v>
      </c>
    </row>
    <row r="1385" spans="1:7" ht="15" customHeight="1">
      <c r="A1385" s="31" t="s">
        <v>1145</v>
      </c>
      <c r="B1385" s="51" t="s">
        <v>1969</v>
      </c>
      <c r="C1385" s="15" t="s">
        <v>1650</v>
      </c>
      <c r="D1385" s="15" t="s">
        <v>439</v>
      </c>
      <c r="E1385" s="15" t="s">
        <v>1144</v>
      </c>
      <c r="F1385" s="15"/>
      <c r="G1385" s="18">
        <f>G1386</f>
        <v>8842</v>
      </c>
    </row>
    <row r="1386" spans="1:7" ht="48" customHeight="1">
      <c r="A1386" s="35" t="s">
        <v>862</v>
      </c>
      <c r="B1386" s="51" t="s">
        <v>1969</v>
      </c>
      <c r="C1386" s="15" t="s">
        <v>1650</v>
      </c>
      <c r="D1386" s="15" t="s">
        <v>439</v>
      </c>
      <c r="E1386" s="15" t="s">
        <v>1283</v>
      </c>
      <c r="F1386" s="15"/>
      <c r="G1386" s="18">
        <f>G1387</f>
        <v>8842</v>
      </c>
    </row>
    <row r="1387" spans="1:7" ht="16.5" customHeight="1">
      <c r="A1387" s="35" t="s">
        <v>166</v>
      </c>
      <c r="B1387" s="51" t="s">
        <v>1969</v>
      </c>
      <c r="C1387" s="15" t="s">
        <v>1650</v>
      </c>
      <c r="D1387" s="15" t="s">
        <v>439</v>
      </c>
      <c r="E1387" s="15" t="s">
        <v>1284</v>
      </c>
      <c r="F1387" s="15" t="s">
        <v>575</v>
      </c>
      <c r="G1387" s="18">
        <f>G1388</f>
        <v>8842</v>
      </c>
    </row>
    <row r="1388" spans="1:7" ht="18" customHeight="1">
      <c r="A1388" s="30" t="s">
        <v>538</v>
      </c>
      <c r="B1388" s="51" t="s">
        <v>1969</v>
      </c>
      <c r="C1388" s="15" t="s">
        <v>1650</v>
      </c>
      <c r="D1388" s="15" t="s">
        <v>439</v>
      </c>
      <c r="E1388" s="15" t="s">
        <v>1284</v>
      </c>
      <c r="F1388" s="15" t="s">
        <v>530</v>
      </c>
      <c r="G1388" s="18">
        <v>8842</v>
      </c>
    </row>
    <row r="1389" spans="1:7" ht="36">
      <c r="A1389" s="35" t="s">
        <v>7</v>
      </c>
      <c r="B1389" s="51" t="s">
        <v>1969</v>
      </c>
      <c r="C1389" s="52" t="s">
        <v>1655</v>
      </c>
      <c r="D1389" s="15"/>
      <c r="E1389" s="15"/>
      <c r="F1389" s="15"/>
      <c r="G1389" s="18">
        <f>G1390+G1394</f>
        <v>19829.3</v>
      </c>
    </row>
    <row r="1390" spans="1:7" ht="36">
      <c r="A1390" s="35" t="s">
        <v>8</v>
      </c>
      <c r="B1390" s="51" t="s">
        <v>1969</v>
      </c>
      <c r="C1390" s="15" t="s">
        <v>1655</v>
      </c>
      <c r="D1390" s="15" t="s">
        <v>1624</v>
      </c>
      <c r="E1390" s="19"/>
      <c r="F1390" s="19"/>
      <c r="G1390" s="18">
        <f>G1391</f>
        <v>10388</v>
      </c>
    </row>
    <row r="1391" spans="1:7" ht="24">
      <c r="A1391" s="35" t="s">
        <v>9</v>
      </c>
      <c r="B1391" s="51" t="s">
        <v>1969</v>
      </c>
      <c r="C1391" s="15" t="s">
        <v>1655</v>
      </c>
      <c r="D1391" s="15" t="s">
        <v>1624</v>
      </c>
      <c r="E1391" s="15" t="s">
        <v>505</v>
      </c>
      <c r="F1391" s="15"/>
      <c r="G1391" s="18">
        <f>G1392</f>
        <v>10388</v>
      </c>
    </row>
    <row r="1392" spans="1:7" ht="24">
      <c r="A1392" s="16" t="s">
        <v>47</v>
      </c>
      <c r="B1392" s="51" t="s">
        <v>1969</v>
      </c>
      <c r="C1392" s="15" t="s">
        <v>1655</v>
      </c>
      <c r="D1392" s="15" t="s">
        <v>1624</v>
      </c>
      <c r="E1392" s="15" t="s">
        <v>48</v>
      </c>
      <c r="F1392" s="15" t="s">
        <v>575</v>
      </c>
      <c r="G1392" s="18">
        <f>G1393</f>
        <v>10388</v>
      </c>
    </row>
    <row r="1393" spans="1:7" ht="24">
      <c r="A1393" s="35" t="s">
        <v>700</v>
      </c>
      <c r="B1393" s="51" t="s">
        <v>1969</v>
      </c>
      <c r="C1393" s="15" t="s">
        <v>1655</v>
      </c>
      <c r="D1393" s="15" t="s">
        <v>1624</v>
      </c>
      <c r="E1393" s="15" t="s">
        <v>48</v>
      </c>
      <c r="F1393" s="15" t="s">
        <v>737</v>
      </c>
      <c r="G1393" s="18">
        <v>10388</v>
      </c>
    </row>
    <row r="1394" spans="1:7" ht="15">
      <c r="A1394" s="194" t="s">
        <v>712</v>
      </c>
      <c r="B1394" s="51" t="s">
        <v>1969</v>
      </c>
      <c r="C1394" s="15" t="s">
        <v>1655</v>
      </c>
      <c r="D1394" s="15" t="s">
        <v>923</v>
      </c>
      <c r="E1394" s="15"/>
      <c r="F1394" s="15"/>
      <c r="G1394" s="18">
        <f>G1395</f>
        <v>9441.3</v>
      </c>
    </row>
    <row r="1395" spans="1:7" ht="24">
      <c r="A1395" s="191" t="s">
        <v>706</v>
      </c>
      <c r="B1395" s="51" t="s">
        <v>1969</v>
      </c>
      <c r="C1395" s="15" t="s">
        <v>1655</v>
      </c>
      <c r="D1395" s="15" t="s">
        <v>923</v>
      </c>
      <c r="E1395" s="15" t="s">
        <v>707</v>
      </c>
      <c r="F1395" s="15"/>
      <c r="G1395" s="18">
        <f>G1396</f>
        <v>9441.3</v>
      </c>
    </row>
    <row r="1396" spans="1:7" ht="24">
      <c r="A1396" s="16" t="s">
        <v>1440</v>
      </c>
      <c r="B1396" s="51" t="s">
        <v>1969</v>
      </c>
      <c r="C1396" s="15" t="s">
        <v>1655</v>
      </c>
      <c r="D1396" s="15" t="s">
        <v>923</v>
      </c>
      <c r="E1396" s="15" t="s">
        <v>1441</v>
      </c>
      <c r="F1396" s="15" t="s">
        <v>575</v>
      </c>
      <c r="G1396" s="18">
        <f>G1397</f>
        <v>9441.3</v>
      </c>
    </row>
    <row r="1397" spans="1:7" ht="24">
      <c r="A1397" s="35" t="s">
        <v>700</v>
      </c>
      <c r="B1397" s="51" t="s">
        <v>1969</v>
      </c>
      <c r="C1397" s="15" t="s">
        <v>1655</v>
      </c>
      <c r="D1397" s="15" t="s">
        <v>923</v>
      </c>
      <c r="E1397" s="15" t="s">
        <v>1441</v>
      </c>
      <c r="F1397" s="15" t="s">
        <v>737</v>
      </c>
      <c r="G1397" s="18">
        <v>9441.3</v>
      </c>
    </row>
    <row r="1398" spans="1:7" ht="15">
      <c r="A1398" s="29" t="s">
        <v>163</v>
      </c>
      <c r="B1398" s="51" t="s">
        <v>1969</v>
      </c>
      <c r="C1398" s="15" t="s">
        <v>714</v>
      </c>
      <c r="D1398" s="15" t="s">
        <v>1646</v>
      </c>
      <c r="E1398" s="15"/>
      <c r="F1398" s="15"/>
      <c r="G1398" s="18">
        <f>G1399</f>
        <v>100071</v>
      </c>
    </row>
    <row r="1399" spans="1:7" ht="24">
      <c r="A1399" s="30" t="s">
        <v>1571</v>
      </c>
      <c r="B1399" s="51" t="s">
        <v>1969</v>
      </c>
      <c r="C1399" s="15" t="s">
        <v>714</v>
      </c>
      <c r="D1399" s="15" t="s">
        <v>1624</v>
      </c>
      <c r="E1399" s="15" t="s">
        <v>983</v>
      </c>
      <c r="F1399" s="15"/>
      <c r="G1399" s="18">
        <f>G1400+G1401</f>
        <v>100071</v>
      </c>
    </row>
    <row r="1400" spans="1:7" ht="24.75" hidden="1">
      <c r="A1400" s="16" t="s">
        <v>999</v>
      </c>
      <c r="B1400" s="51" t="s">
        <v>1969</v>
      </c>
      <c r="C1400" s="15" t="s">
        <v>714</v>
      </c>
      <c r="D1400" s="15" t="s">
        <v>1624</v>
      </c>
      <c r="E1400" s="15" t="s">
        <v>749</v>
      </c>
      <c r="F1400" s="15" t="s">
        <v>1000</v>
      </c>
      <c r="G1400" s="18">
        <f>30000-10000-3000-17000</f>
        <v>0</v>
      </c>
    </row>
    <row r="1401" spans="1:7" ht="36">
      <c r="A1401" s="16" t="s">
        <v>31</v>
      </c>
      <c r="B1401" s="51" t="s">
        <v>1969</v>
      </c>
      <c r="C1401" s="15" t="s">
        <v>714</v>
      </c>
      <c r="D1401" s="15" t="s">
        <v>1624</v>
      </c>
      <c r="E1401" s="15" t="s">
        <v>749</v>
      </c>
      <c r="F1401" s="15" t="s">
        <v>504</v>
      </c>
      <c r="G1401" s="18">
        <f>90071+10000</f>
        <v>100071</v>
      </c>
    </row>
    <row r="1402" spans="1:7" ht="38.25">
      <c r="A1402" s="22" t="s">
        <v>899</v>
      </c>
      <c r="B1402" s="51" t="s">
        <v>1969</v>
      </c>
      <c r="C1402" s="19" t="s">
        <v>1143</v>
      </c>
      <c r="D1402" s="21"/>
      <c r="E1402" s="21"/>
      <c r="F1402" s="21"/>
      <c r="G1402" s="18">
        <f>G1403</f>
        <v>103496</v>
      </c>
    </row>
    <row r="1403" spans="1:7" ht="15">
      <c r="A1403" s="29" t="s">
        <v>659</v>
      </c>
      <c r="B1403" s="51" t="s">
        <v>1969</v>
      </c>
      <c r="C1403" s="25" t="s">
        <v>1143</v>
      </c>
      <c r="D1403" s="25" t="s">
        <v>1653</v>
      </c>
      <c r="E1403" s="25"/>
      <c r="F1403" s="25"/>
      <c r="G1403" s="18">
        <f>G1404</f>
        <v>103496</v>
      </c>
    </row>
    <row r="1404" spans="1:7" ht="36">
      <c r="A1404" s="35" t="s">
        <v>1113</v>
      </c>
      <c r="B1404" s="51" t="s">
        <v>1969</v>
      </c>
      <c r="C1404" s="15" t="s">
        <v>1143</v>
      </c>
      <c r="D1404" s="15" t="s">
        <v>1653</v>
      </c>
      <c r="E1404" s="15" t="s">
        <v>1114</v>
      </c>
      <c r="F1404" s="15" t="s">
        <v>575</v>
      </c>
      <c r="G1404" s="18">
        <f>G1405</f>
        <v>103496</v>
      </c>
    </row>
    <row r="1405" spans="1:7" ht="36">
      <c r="A1405" s="35" t="s">
        <v>445</v>
      </c>
      <c r="B1405" s="51" t="s">
        <v>1969</v>
      </c>
      <c r="C1405" s="15" t="s">
        <v>1143</v>
      </c>
      <c r="D1405" s="15" t="s">
        <v>1653</v>
      </c>
      <c r="E1405" s="15" t="s">
        <v>1114</v>
      </c>
      <c r="F1405" s="15" t="s">
        <v>446</v>
      </c>
      <c r="G1405" s="18">
        <v>103496</v>
      </c>
    </row>
    <row r="1406" spans="1:7" ht="15.75">
      <c r="A1406" s="190" t="s">
        <v>185</v>
      </c>
      <c r="B1406" s="49" t="s">
        <v>581</v>
      </c>
      <c r="C1406" s="49"/>
      <c r="D1406" s="49"/>
      <c r="E1406" s="49"/>
      <c r="F1406" s="49"/>
      <c r="G1406" s="50">
        <f>G1407</f>
        <v>22183.2</v>
      </c>
    </row>
    <row r="1407" spans="1:7" ht="15">
      <c r="A1407" s="54" t="s">
        <v>432</v>
      </c>
      <c r="B1407" s="51" t="s">
        <v>581</v>
      </c>
      <c r="C1407" s="15" t="s">
        <v>1624</v>
      </c>
      <c r="D1407" s="15"/>
      <c r="E1407" s="15"/>
      <c r="F1407" s="15"/>
      <c r="G1407" s="18">
        <f>G1408+G1413+G1425</f>
        <v>22183.2</v>
      </c>
    </row>
    <row r="1408" spans="1:7" ht="24">
      <c r="A1408" s="29" t="s">
        <v>597</v>
      </c>
      <c r="B1408" s="51" t="s">
        <v>581</v>
      </c>
      <c r="C1408" s="15" t="s">
        <v>1624</v>
      </c>
      <c r="D1408" s="52" t="s">
        <v>923</v>
      </c>
      <c r="E1408" s="15"/>
      <c r="F1408" s="15"/>
      <c r="G1408" s="18">
        <f>G1409</f>
        <v>2955.6</v>
      </c>
    </row>
    <row r="1409" spans="1:7" ht="42" customHeight="1">
      <c r="A1409" s="30" t="s">
        <v>1542</v>
      </c>
      <c r="B1409" s="51" t="s">
        <v>581</v>
      </c>
      <c r="C1409" s="52" t="s">
        <v>1624</v>
      </c>
      <c r="D1409" s="52" t="s">
        <v>923</v>
      </c>
      <c r="E1409" s="15" t="s">
        <v>1543</v>
      </c>
      <c r="F1409" s="52"/>
      <c r="G1409" s="18">
        <f>G1410</f>
        <v>2955.6</v>
      </c>
    </row>
    <row r="1410" spans="1:7" ht="24">
      <c r="A1410" s="35" t="s">
        <v>1616</v>
      </c>
      <c r="B1410" s="51" t="s">
        <v>581</v>
      </c>
      <c r="C1410" s="52" t="s">
        <v>1624</v>
      </c>
      <c r="D1410" s="52" t="s">
        <v>923</v>
      </c>
      <c r="E1410" s="15" t="s">
        <v>1050</v>
      </c>
      <c r="F1410" s="52" t="s">
        <v>575</v>
      </c>
      <c r="G1410" s="18">
        <f>G1411+G1412</f>
        <v>2955.6</v>
      </c>
    </row>
    <row r="1411" spans="1:7" ht="24">
      <c r="A1411" s="35" t="s">
        <v>1104</v>
      </c>
      <c r="B1411" s="51" t="s">
        <v>581</v>
      </c>
      <c r="C1411" s="52" t="s">
        <v>1624</v>
      </c>
      <c r="D1411" s="52" t="s">
        <v>923</v>
      </c>
      <c r="E1411" s="15" t="s">
        <v>1050</v>
      </c>
      <c r="F1411" s="52" t="s">
        <v>383</v>
      </c>
      <c r="G1411" s="18">
        <f>3119.6-328</f>
        <v>2791.6</v>
      </c>
    </row>
    <row r="1412" spans="1:7" ht="24">
      <c r="A1412" s="35" t="s">
        <v>384</v>
      </c>
      <c r="B1412" s="51" t="s">
        <v>581</v>
      </c>
      <c r="C1412" s="52" t="s">
        <v>1624</v>
      </c>
      <c r="D1412" s="52" t="s">
        <v>923</v>
      </c>
      <c r="E1412" s="15" t="s">
        <v>1050</v>
      </c>
      <c r="F1412" s="52" t="s">
        <v>385</v>
      </c>
      <c r="G1412" s="18">
        <v>164</v>
      </c>
    </row>
    <row r="1413" spans="1:7" ht="37.5" customHeight="1">
      <c r="A1413" s="29" t="s">
        <v>140</v>
      </c>
      <c r="B1413" s="51" t="s">
        <v>581</v>
      </c>
      <c r="C1413" s="15" t="s">
        <v>1624</v>
      </c>
      <c r="D1413" s="15" t="s">
        <v>1653</v>
      </c>
      <c r="E1413" s="15"/>
      <c r="F1413" s="15"/>
      <c r="G1413" s="18">
        <f>G1414</f>
        <v>19227.600000000002</v>
      </c>
    </row>
    <row r="1414" spans="1:7" ht="36">
      <c r="A1414" s="30" t="s">
        <v>1542</v>
      </c>
      <c r="B1414" s="51" t="s">
        <v>581</v>
      </c>
      <c r="C1414" s="15" t="s">
        <v>1624</v>
      </c>
      <c r="D1414" s="15" t="s">
        <v>1653</v>
      </c>
      <c r="E1414" s="15" t="s">
        <v>1543</v>
      </c>
      <c r="F1414" s="15"/>
      <c r="G1414" s="18">
        <f>G1415+G1423</f>
        <v>19227.600000000002</v>
      </c>
    </row>
    <row r="1415" spans="1:7" ht="18.75" customHeight="1">
      <c r="A1415" s="16" t="s">
        <v>500</v>
      </c>
      <c r="B1415" s="51" t="s">
        <v>581</v>
      </c>
      <c r="C1415" s="15" t="s">
        <v>1624</v>
      </c>
      <c r="D1415" s="15" t="s">
        <v>1653</v>
      </c>
      <c r="E1415" s="15" t="s">
        <v>229</v>
      </c>
      <c r="F1415" s="15" t="s">
        <v>575</v>
      </c>
      <c r="G1415" s="18">
        <f>G1416+G1417+G1418+G1421+G1422</f>
        <v>19212.7</v>
      </c>
    </row>
    <row r="1416" spans="1:7" ht="19.5" customHeight="1">
      <c r="A1416" s="35" t="s">
        <v>382</v>
      </c>
      <c r="B1416" s="51" t="s">
        <v>581</v>
      </c>
      <c r="C1416" s="15" t="s">
        <v>1624</v>
      </c>
      <c r="D1416" s="15" t="s">
        <v>1653</v>
      </c>
      <c r="E1416" s="15" t="s">
        <v>229</v>
      </c>
      <c r="F1416" s="15" t="s">
        <v>383</v>
      </c>
      <c r="G1416" s="18">
        <f>16930.2+1255.2</f>
        <v>18185.4</v>
      </c>
    </row>
    <row r="1417" spans="1:7" ht="19.5" customHeight="1" hidden="1">
      <c r="A1417" s="35" t="s">
        <v>384</v>
      </c>
      <c r="B1417" s="51" t="s">
        <v>581</v>
      </c>
      <c r="C1417" s="15" t="s">
        <v>1624</v>
      </c>
      <c r="D1417" s="15" t="s">
        <v>1653</v>
      </c>
      <c r="E1417" s="15" t="s">
        <v>229</v>
      </c>
      <c r="F1417" s="15" t="s">
        <v>385</v>
      </c>
      <c r="G1417" s="18"/>
    </row>
    <row r="1418" spans="1:7" ht="19.5" customHeight="1">
      <c r="A1418" s="35" t="s">
        <v>1019</v>
      </c>
      <c r="B1418" s="51" t="s">
        <v>581</v>
      </c>
      <c r="C1418" s="15" t="s">
        <v>1624</v>
      </c>
      <c r="D1418" s="15" t="s">
        <v>1653</v>
      </c>
      <c r="E1418" s="15" t="s">
        <v>229</v>
      </c>
      <c r="F1418" s="15" t="s">
        <v>1644</v>
      </c>
      <c r="G1418" s="18">
        <f>G1419+G1420</f>
        <v>945.8</v>
      </c>
    </row>
    <row r="1419" spans="1:7" ht="27.75" customHeight="1">
      <c r="A1419" s="35" t="s">
        <v>848</v>
      </c>
      <c r="B1419" s="51" t="s">
        <v>581</v>
      </c>
      <c r="C1419" s="15" t="s">
        <v>1624</v>
      </c>
      <c r="D1419" s="15" t="s">
        <v>1653</v>
      </c>
      <c r="E1419" s="15" t="s">
        <v>229</v>
      </c>
      <c r="F1419" s="15" t="s">
        <v>846</v>
      </c>
      <c r="G1419" s="18">
        <v>416.3</v>
      </c>
    </row>
    <row r="1420" spans="1:7" ht="19.5" customHeight="1">
      <c r="A1420" s="35" t="s">
        <v>1535</v>
      </c>
      <c r="B1420" s="51" t="s">
        <v>581</v>
      </c>
      <c r="C1420" s="15" t="s">
        <v>1624</v>
      </c>
      <c r="D1420" s="15" t="s">
        <v>1653</v>
      </c>
      <c r="E1420" s="15" t="s">
        <v>229</v>
      </c>
      <c r="F1420" s="15" t="s">
        <v>1536</v>
      </c>
      <c r="G1420" s="18">
        <v>529.5</v>
      </c>
    </row>
    <row r="1421" spans="1:7" ht="20.25" customHeight="1" hidden="1">
      <c r="A1421" s="16" t="s">
        <v>138</v>
      </c>
      <c r="B1421" s="51" t="s">
        <v>581</v>
      </c>
      <c r="C1421" s="15" t="s">
        <v>1624</v>
      </c>
      <c r="D1421" s="15" t="s">
        <v>1653</v>
      </c>
      <c r="E1421" s="15" t="s">
        <v>229</v>
      </c>
      <c r="F1421" s="15"/>
      <c r="G1421" s="18">
        <v>0</v>
      </c>
    </row>
    <row r="1422" spans="1:7" ht="18" customHeight="1">
      <c r="A1422" s="16" t="s">
        <v>1020</v>
      </c>
      <c r="B1422" s="51" t="s">
        <v>581</v>
      </c>
      <c r="C1422" s="15" t="s">
        <v>1624</v>
      </c>
      <c r="D1422" s="15" t="s">
        <v>1653</v>
      </c>
      <c r="E1422" s="15" t="s">
        <v>229</v>
      </c>
      <c r="F1422" s="15" t="s">
        <v>1021</v>
      </c>
      <c r="G1422" s="18">
        <f>60+21.5</f>
        <v>81.5</v>
      </c>
    </row>
    <row r="1423" spans="1:7" ht="20.25" customHeight="1">
      <c r="A1423" s="16" t="s">
        <v>1665</v>
      </c>
      <c r="B1423" s="51" t="s">
        <v>581</v>
      </c>
      <c r="C1423" s="15" t="s">
        <v>1624</v>
      </c>
      <c r="D1423" s="15" t="s">
        <v>1653</v>
      </c>
      <c r="E1423" s="15" t="s">
        <v>1635</v>
      </c>
      <c r="F1423" s="15" t="s">
        <v>575</v>
      </c>
      <c r="G1423" s="18">
        <f>G1424</f>
        <v>14.9</v>
      </c>
    </row>
    <row r="1424" spans="1:7" ht="18.75" customHeight="1">
      <c r="A1424" s="16" t="s">
        <v>1665</v>
      </c>
      <c r="B1424" s="51" t="s">
        <v>581</v>
      </c>
      <c r="C1424" s="15" t="s">
        <v>1624</v>
      </c>
      <c r="D1424" s="15" t="s">
        <v>1653</v>
      </c>
      <c r="E1424" s="15" t="s">
        <v>1635</v>
      </c>
      <c r="F1424" s="15" t="s">
        <v>1066</v>
      </c>
      <c r="G1424" s="18">
        <v>14.9</v>
      </c>
    </row>
    <row r="1425" spans="1:7" ht="35.25" customHeight="1" hidden="1">
      <c r="A1425" s="29" t="s">
        <v>550</v>
      </c>
      <c r="B1425" s="51" t="s">
        <v>581</v>
      </c>
      <c r="C1425" s="15" t="s">
        <v>1624</v>
      </c>
      <c r="D1425" s="15" t="s">
        <v>1647</v>
      </c>
      <c r="E1425" s="15"/>
      <c r="F1425" s="15"/>
      <c r="G1425" s="18">
        <f>G1426</f>
        <v>0</v>
      </c>
    </row>
    <row r="1426" spans="1:7" ht="19.5" customHeight="1" hidden="1">
      <c r="A1426" s="16" t="s">
        <v>500</v>
      </c>
      <c r="B1426" s="51" t="s">
        <v>581</v>
      </c>
      <c r="C1426" s="15" t="s">
        <v>1624</v>
      </c>
      <c r="D1426" s="15" t="s">
        <v>1647</v>
      </c>
      <c r="E1426" s="15" t="s">
        <v>229</v>
      </c>
      <c r="F1426" s="15" t="s">
        <v>575</v>
      </c>
      <c r="G1426" s="18">
        <f>G1427</f>
        <v>0</v>
      </c>
    </row>
    <row r="1427" spans="1:7" ht="17.25" customHeight="1" hidden="1">
      <c r="A1427" s="16" t="s">
        <v>138</v>
      </c>
      <c r="B1427" s="51" t="s">
        <v>581</v>
      </c>
      <c r="C1427" s="15" t="s">
        <v>1624</v>
      </c>
      <c r="D1427" s="15" t="s">
        <v>1647</v>
      </c>
      <c r="E1427" s="15" t="s">
        <v>229</v>
      </c>
      <c r="F1427" s="15" t="s">
        <v>139</v>
      </c>
      <c r="G1427" s="18">
        <f>3032-3032</f>
        <v>0</v>
      </c>
    </row>
    <row r="1428" spans="1:7" ht="17.25" customHeight="1" hidden="1">
      <c r="A1428" s="194" t="s">
        <v>712</v>
      </c>
      <c r="B1428" s="51" t="s">
        <v>581</v>
      </c>
      <c r="C1428" s="15" t="s">
        <v>1990</v>
      </c>
      <c r="D1428" s="15" t="s">
        <v>439</v>
      </c>
      <c r="E1428" s="15"/>
      <c r="F1428" s="15"/>
      <c r="G1428" s="18">
        <f>G1429</f>
        <v>0</v>
      </c>
    </row>
    <row r="1429" spans="1:7" ht="25.5" customHeight="1" hidden="1">
      <c r="A1429" s="41" t="s">
        <v>1440</v>
      </c>
      <c r="B1429" s="51" t="s">
        <v>581</v>
      </c>
      <c r="C1429" s="15" t="s">
        <v>1990</v>
      </c>
      <c r="D1429" s="15" t="s">
        <v>439</v>
      </c>
      <c r="E1429" s="15" t="s">
        <v>1441</v>
      </c>
      <c r="F1429" s="15"/>
      <c r="G1429" s="18">
        <f>G1430</f>
        <v>0</v>
      </c>
    </row>
    <row r="1430" spans="1:7" ht="27.75" customHeight="1" hidden="1">
      <c r="A1430" s="16" t="s">
        <v>649</v>
      </c>
      <c r="B1430" s="51" t="s">
        <v>581</v>
      </c>
      <c r="C1430" s="15" t="s">
        <v>1990</v>
      </c>
      <c r="D1430" s="15" t="s">
        <v>439</v>
      </c>
      <c r="E1430" s="15" t="s">
        <v>1888</v>
      </c>
      <c r="F1430" s="15" t="s">
        <v>575</v>
      </c>
      <c r="G1430" s="18">
        <f>G1431</f>
        <v>0</v>
      </c>
    </row>
    <row r="1431" spans="1:7" ht="21" customHeight="1" hidden="1">
      <c r="A1431" s="16" t="s">
        <v>1365</v>
      </c>
      <c r="B1431" s="51" t="s">
        <v>581</v>
      </c>
      <c r="C1431" s="15" t="s">
        <v>1990</v>
      </c>
      <c r="D1431" s="15" t="s">
        <v>439</v>
      </c>
      <c r="E1431" s="15" t="s">
        <v>1888</v>
      </c>
      <c r="F1431" s="15" t="s">
        <v>1366</v>
      </c>
      <c r="G1431" s="18"/>
    </row>
    <row r="1432" spans="1:7" ht="27.75" customHeight="1">
      <c r="A1432" s="190" t="s">
        <v>219</v>
      </c>
      <c r="B1432" s="49" t="s">
        <v>956</v>
      </c>
      <c r="C1432" s="51"/>
      <c r="D1432" s="51"/>
      <c r="E1432" s="51"/>
      <c r="F1432" s="51"/>
      <c r="G1432" s="50">
        <f>G1433</f>
        <v>4680.999999999999</v>
      </c>
    </row>
    <row r="1433" spans="1:7" ht="15">
      <c r="A1433" s="54" t="s">
        <v>432</v>
      </c>
      <c r="B1433" s="51" t="s">
        <v>956</v>
      </c>
      <c r="C1433" s="15" t="s">
        <v>1624</v>
      </c>
      <c r="D1433" s="15"/>
      <c r="E1433" s="15"/>
      <c r="F1433" s="15"/>
      <c r="G1433" s="18">
        <f>G1434</f>
        <v>4680.999999999999</v>
      </c>
    </row>
    <row r="1434" spans="1:7" ht="36">
      <c r="A1434" s="29" t="s">
        <v>550</v>
      </c>
      <c r="B1434" s="51" t="s">
        <v>956</v>
      </c>
      <c r="C1434" s="15" t="s">
        <v>1624</v>
      </c>
      <c r="D1434" s="15" t="s">
        <v>1647</v>
      </c>
      <c r="E1434" s="15"/>
      <c r="F1434" s="15"/>
      <c r="G1434" s="18">
        <f>G1435</f>
        <v>4680.999999999999</v>
      </c>
    </row>
    <row r="1435" spans="1:7" ht="19.5" customHeight="1">
      <c r="A1435" s="16" t="s">
        <v>500</v>
      </c>
      <c r="B1435" s="51" t="s">
        <v>956</v>
      </c>
      <c r="C1435" s="15" t="s">
        <v>1624</v>
      </c>
      <c r="D1435" s="15" t="s">
        <v>1647</v>
      </c>
      <c r="E1435" s="15" t="s">
        <v>229</v>
      </c>
      <c r="F1435" s="15" t="s">
        <v>575</v>
      </c>
      <c r="G1435" s="18">
        <f>G1436+G1437+G1438+G1441</f>
        <v>4680.999999999999</v>
      </c>
    </row>
    <row r="1436" spans="1:7" ht="13.5" customHeight="1">
      <c r="A1436" s="35" t="s">
        <v>382</v>
      </c>
      <c r="B1436" s="51" t="s">
        <v>956</v>
      </c>
      <c r="C1436" s="15" t="s">
        <v>1624</v>
      </c>
      <c r="D1436" s="15" t="s">
        <v>1647</v>
      </c>
      <c r="E1436" s="15" t="s">
        <v>229</v>
      </c>
      <c r="F1436" s="15" t="s">
        <v>383</v>
      </c>
      <c r="G1436" s="18">
        <f>4141.2+85</f>
        <v>4226.2</v>
      </c>
    </row>
    <row r="1437" spans="1:7" ht="13.5" customHeight="1">
      <c r="A1437" s="16" t="s">
        <v>384</v>
      </c>
      <c r="B1437" s="51" t="s">
        <v>956</v>
      </c>
      <c r="C1437" s="15" t="s">
        <v>1624</v>
      </c>
      <c r="D1437" s="15" t="s">
        <v>1647</v>
      </c>
      <c r="E1437" s="15" t="s">
        <v>229</v>
      </c>
      <c r="F1437" s="15" t="s">
        <v>385</v>
      </c>
      <c r="G1437" s="18">
        <v>1.9</v>
      </c>
    </row>
    <row r="1438" spans="1:7" ht="15.75" customHeight="1">
      <c r="A1438" s="35" t="s">
        <v>528</v>
      </c>
      <c r="B1438" s="51" t="s">
        <v>956</v>
      </c>
      <c r="C1438" s="15" t="s">
        <v>1624</v>
      </c>
      <c r="D1438" s="15" t="s">
        <v>1647</v>
      </c>
      <c r="E1438" s="15" t="s">
        <v>229</v>
      </c>
      <c r="F1438" s="15" t="s">
        <v>1644</v>
      </c>
      <c r="G1438" s="18">
        <f>G1439+G1440</f>
        <v>451.4</v>
      </c>
    </row>
    <row r="1439" spans="1:7" ht="26.25" customHeight="1">
      <c r="A1439" s="35" t="s">
        <v>848</v>
      </c>
      <c r="B1439" s="51" t="s">
        <v>956</v>
      </c>
      <c r="C1439" s="15" t="s">
        <v>1624</v>
      </c>
      <c r="D1439" s="15" t="s">
        <v>1647</v>
      </c>
      <c r="E1439" s="15" t="s">
        <v>229</v>
      </c>
      <c r="F1439" s="15" t="s">
        <v>846</v>
      </c>
      <c r="G1439" s="18">
        <v>251.2</v>
      </c>
    </row>
    <row r="1440" spans="1:7" ht="15.75" customHeight="1">
      <c r="A1440" s="35" t="s">
        <v>1535</v>
      </c>
      <c r="B1440" s="51" t="s">
        <v>956</v>
      </c>
      <c r="C1440" s="15" t="s">
        <v>1624</v>
      </c>
      <c r="D1440" s="15" t="s">
        <v>1647</v>
      </c>
      <c r="E1440" s="15" t="s">
        <v>229</v>
      </c>
      <c r="F1440" s="15" t="s">
        <v>1536</v>
      </c>
      <c r="G1440" s="18">
        <v>200.2</v>
      </c>
    </row>
    <row r="1441" spans="1:7" ht="19.5" customHeight="1">
      <c r="A1441" s="16" t="s">
        <v>1665</v>
      </c>
      <c r="B1441" s="51" t="s">
        <v>956</v>
      </c>
      <c r="C1441" s="15" t="s">
        <v>1624</v>
      </c>
      <c r="D1441" s="15" t="s">
        <v>1647</v>
      </c>
      <c r="E1441" s="15" t="s">
        <v>229</v>
      </c>
      <c r="F1441" s="15" t="s">
        <v>1066</v>
      </c>
      <c r="G1441" s="18">
        <v>1.5</v>
      </c>
    </row>
    <row r="1442" spans="1:7" ht="29.25" customHeight="1">
      <c r="A1442" s="190" t="s">
        <v>1158</v>
      </c>
      <c r="B1442" s="49" t="s">
        <v>4</v>
      </c>
      <c r="C1442" s="49"/>
      <c r="D1442" s="49"/>
      <c r="E1442" s="49"/>
      <c r="F1442" s="49"/>
      <c r="G1442" s="50">
        <f>G1443</f>
        <v>20294.5</v>
      </c>
    </row>
    <row r="1443" spans="1:7" ht="15.75" hidden="1">
      <c r="A1443" s="54" t="s">
        <v>432</v>
      </c>
      <c r="B1443" s="51" t="s">
        <v>4</v>
      </c>
      <c r="C1443" s="15" t="s">
        <v>1624</v>
      </c>
      <c r="D1443" s="15"/>
      <c r="E1443" s="15"/>
      <c r="F1443" s="15"/>
      <c r="G1443" s="18">
        <f>G1450</f>
        <v>20294.5</v>
      </c>
    </row>
    <row r="1444" spans="1:7" ht="22.5" customHeight="1" hidden="1">
      <c r="A1444" s="29" t="s">
        <v>163</v>
      </c>
      <c r="B1444" s="51" t="s">
        <v>4</v>
      </c>
      <c r="C1444" s="15" t="s">
        <v>1624</v>
      </c>
      <c r="D1444" s="15" t="s">
        <v>98</v>
      </c>
      <c r="E1444" s="15"/>
      <c r="F1444" s="15"/>
      <c r="G1444" s="18">
        <f>G1445</f>
        <v>0</v>
      </c>
    </row>
    <row r="1445" spans="1:7" ht="20.25" customHeight="1" hidden="1">
      <c r="A1445" s="30" t="s">
        <v>868</v>
      </c>
      <c r="B1445" s="51" t="s">
        <v>4</v>
      </c>
      <c r="C1445" s="15" t="s">
        <v>1624</v>
      </c>
      <c r="D1445" s="15" t="s">
        <v>98</v>
      </c>
      <c r="E1445" s="15" t="s">
        <v>983</v>
      </c>
      <c r="F1445" s="15"/>
      <c r="G1445" s="18">
        <f>G1446</f>
        <v>0</v>
      </c>
    </row>
    <row r="1446" spans="1:7" ht="22.5" customHeight="1" hidden="1">
      <c r="A1446" s="16" t="s">
        <v>777</v>
      </c>
      <c r="B1446" s="51" t="s">
        <v>4</v>
      </c>
      <c r="C1446" s="15" t="s">
        <v>1624</v>
      </c>
      <c r="D1446" s="15" t="s">
        <v>98</v>
      </c>
      <c r="E1446" s="15" t="s">
        <v>749</v>
      </c>
      <c r="F1446" s="15" t="s">
        <v>575</v>
      </c>
      <c r="G1446" s="18">
        <f>G1447</f>
        <v>0</v>
      </c>
    </row>
    <row r="1447" spans="1:7" ht="22.5" customHeight="1" hidden="1">
      <c r="A1447" s="16" t="s">
        <v>1942</v>
      </c>
      <c r="B1447" s="51" t="s">
        <v>4</v>
      </c>
      <c r="C1447" s="15" t="s">
        <v>1624</v>
      </c>
      <c r="D1447" s="15" t="s">
        <v>98</v>
      </c>
      <c r="E1447" s="15" t="s">
        <v>749</v>
      </c>
      <c r="F1447" s="15" t="s">
        <v>17</v>
      </c>
      <c r="G1447" s="18">
        <v>0</v>
      </c>
    </row>
    <row r="1448" spans="1:7" ht="22.5" customHeight="1" hidden="1">
      <c r="A1448" s="30" t="s">
        <v>53</v>
      </c>
      <c r="B1448" s="51" t="s">
        <v>4</v>
      </c>
      <c r="C1448" s="15" t="s">
        <v>1624</v>
      </c>
      <c r="D1448" s="15" t="s">
        <v>708</v>
      </c>
      <c r="E1448" s="15" t="s">
        <v>1986</v>
      </c>
      <c r="F1448" s="15"/>
      <c r="G1448" s="18">
        <f>G1449</f>
        <v>0</v>
      </c>
    </row>
    <row r="1449" spans="1:7" ht="19.5" customHeight="1" hidden="1">
      <c r="A1449" s="16" t="s">
        <v>1376</v>
      </c>
      <c r="B1449" s="51" t="s">
        <v>4</v>
      </c>
      <c r="C1449" s="15" t="s">
        <v>1624</v>
      </c>
      <c r="D1449" s="15" t="s">
        <v>708</v>
      </c>
      <c r="E1449" s="15" t="s">
        <v>1986</v>
      </c>
      <c r="F1449" s="15" t="s">
        <v>574</v>
      </c>
      <c r="G1449" s="18"/>
    </row>
    <row r="1450" spans="1:7" ht="36">
      <c r="A1450" s="29" t="s">
        <v>550</v>
      </c>
      <c r="B1450" s="51" t="s">
        <v>4</v>
      </c>
      <c r="C1450" s="15" t="s">
        <v>1624</v>
      </c>
      <c r="D1450" s="15" t="s">
        <v>1647</v>
      </c>
      <c r="E1450" s="15"/>
      <c r="F1450" s="15"/>
      <c r="G1450" s="18">
        <f>G1451+G1458</f>
        <v>20294.5</v>
      </c>
    </row>
    <row r="1451" spans="1:7" ht="18.75" customHeight="1">
      <c r="A1451" s="16" t="s">
        <v>500</v>
      </c>
      <c r="B1451" s="51" t="s">
        <v>4</v>
      </c>
      <c r="C1451" s="15" t="s">
        <v>1624</v>
      </c>
      <c r="D1451" s="15" t="s">
        <v>1647</v>
      </c>
      <c r="E1451" s="15" t="s">
        <v>229</v>
      </c>
      <c r="F1451" s="15" t="s">
        <v>575</v>
      </c>
      <c r="G1451" s="18">
        <f>G1452+G1453+G1454</f>
        <v>20281.1</v>
      </c>
    </row>
    <row r="1452" spans="1:7" ht="17.25" customHeight="1">
      <c r="A1452" s="35" t="s">
        <v>382</v>
      </c>
      <c r="B1452" s="51" t="s">
        <v>4</v>
      </c>
      <c r="C1452" s="15" t="s">
        <v>1624</v>
      </c>
      <c r="D1452" s="15" t="s">
        <v>1647</v>
      </c>
      <c r="E1452" s="15" t="s">
        <v>229</v>
      </c>
      <c r="F1452" s="15" t="s">
        <v>383</v>
      </c>
      <c r="G1452" s="18">
        <v>18768.1</v>
      </c>
    </row>
    <row r="1453" spans="1:7" ht="16.5" customHeight="1">
      <c r="A1453" s="35" t="s">
        <v>384</v>
      </c>
      <c r="B1453" s="51" t="s">
        <v>4</v>
      </c>
      <c r="C1453" s="15" t="s">
        <v>1624</v>
      </c>
      <c r="D1453" s="15" t="s">
        <v>1647</v>
      </c>
      <c r="E1453" s="15" t="s">
        <v>229</v>
      </c>
      <c r="F1453" s="15" t="s">
        <v>385</v>
      </c>
      <c r="G1453" s="18">
        <v>3</v>
      </c>
    </row>
    <row r="1454" spans="1:7" ht="15.75" customHeight="1">
      <c r="A1454" s="35" t="s">
        <v>528</v>
      </c>
      <c r="B1454" s="51" t="s">
        <v>4</v>
      </c>
      <c r="C1454" s="15" t="s">
        <v>1624</v>
      </c>
      <c r="D1454" s="15" t="s">
        <v>1647</v>
      </c>
      <c r="E1454" s="15" t="s">
        <v>229</v>
      </c>
      <c r="F1454" s="15" t="s">
        <v>1644</v>
      </c>
      <c r="G1454" s="18">
        <f>G1455+G1456+G1457</f>
        <v>1510</v>
      </c>
    </row>
    <row r="1455" spans="1:7" ht="23.25" customHeight="1">
      <c r="A1455" s="35" t="s">
        <v>848</v>
      </c>
      <c r="B1455" s="51" t="s">
        <v>4</v>
      </c>
      <c r="C1455" s="15" t="s">
        <v>1624</v>
      </c>
      <c r="D1455" s="15" t="s">
        <v>1647</v>
      </c>
      <c r="E1455" s="15" t="s">
        <v>229</v>
      </c>
      <c r="F1455" s="15" t="s">
        <v>846</v>
      </c>
      <c r="G1455" s="18">
        <f>805+200</f>
        <v>1005</v>
      </c>
    </row>
    <row r="1456" spans="1:7" ht="26.25" customHeight="1">
      <c r="A1456" s="35" t="s">
        <v>95</v>
      </c>
      <c r="B1456" s="51" t="s">
        <v>4</v>
      </c>
      <c r="C1456" s="15" t="s">
        <v>1624</v>
      </c>
      <c r="D1456" s="15" t="s">
        <v>1647</v>
      </c>
      <c r="E1456" s="15" t="s">
        <v>229</v>
      </c>
      <c r="F1456" s="15" t="s">
        <v>699</v>
      </c>
      <c r="G1456" s="18">
        <f>245-70</f>
        <v>175</v>
      </c>
    </row>
    <row r="1457" spans="1:7" ht="19.5" customHeight="1">
      <c r="A1457" s="35" t="s">
        <v>1535</v>
      </c>
      <c r="B1457" s="51" t="s">
        <v>4</v>
      </c>
      <c r="C1457" s="15" t="s">
        <v>1624</v>
      </c>
      <c r="D1457" s="15" t="s">
        <v>1647</v>
      </c>
      <c r="E1457" s="15" t="s">
        <v>229</v>
      </c>
      <c r="F1457" s="15" t="s">
        <v>1536</v>
      </c>
      <c r="G1457" s="18">
        <f>15+245+70</f>
        <v>330</v>
      </c>
    </row>
    <row r="1458" spans="1:7" ht="20.25" customHeight="1">
      <c r="A1458" s="16" t="s">
        <v>1665</v>
      </c>
      <c r="B1458" s="51" t="s">
        <v>4</v>
      </c>
      <c r="C1458" s="15" t="s">
        <v>1624</v>
      </c>
      <c r="D1458" s="15" t="s">
        <v>1647</v>
      </c>
      <c r="E1458" s="15" t="s">
        <v>1635</v>
      </c>
      <c r="F1458" s="15" t="s">
        <v>575</v>
      </c>
      <c r="G1458" s="18">
        <f>G1459</f>
        <v>13.4</v>
      </c>
    </row>
    <row r="1459" spans="1:7" ht="24">
      <c r="A1459" s="16" t="s">
        <v>1665</v>
      </c>
      <c r="B1459" s="51" t="s">
        <v>4</v>
      </c>
      <c r="C1459" s="15" t="s">
        <v>1624</v>
      </c>
      <c r="D1459" s="15" t="s">
        <v>1647</v>
      </c>
      <c r="E1459" s="15" t="s">
        <v>1635</v>
      </c>
      <c r="F1459" s="15" t="s">
        <v>1066</v>
      </c>
      <c r="G1459" s="18">
        <v>13.4</v>
      </c>
    </row>
    <row r="1460" spans="1:7" ht="15.75" customHeight="1" hidden="1">
      <c r="A1460" s="54" t="s">
        <v>1147</v>
      </c>
      <c r="B1460" s="51" t="s">
        <v>4</v>
      </c>
      <c r="C1460" s="25" t="s">
        <v>98</v>
      </c>
      <c r="D1460" s="21"/>
      <c r="E1460" s="21"/>
      <c r="F1460" s="21"/>
      <c r="G1460" s="38">
        <f>G1462+G1464</f>
        <v>0</v>
      </c>
    </row>
    <row r="1461" spans="1:7" ht="34.5" customHeight="1" hidden="1">
      <c r="A1461" s="29" t="s">
        <v>870</v>
      </c>
      <c r="B1461" s="51" t="s">
        <v>4</v>
      </c>
      <c r="C1461" s="25" t="s">
        <v>98</v>
      </c>
      <c r="D1461" s="25" t="s">
        <v>923</v>
      </c>
      <c r="E1461" s="25"/>
      <c r="F1461" s="25"/>
      <c r="G1461" s="38">
        <f>G1463</f>
        <v>0</v>
      </c>
    </row>
    <row r="1462" spans="1:7" ht="40.5" customHeight="1" hidden="1">
      <c r="A1462" s="30" t="s">
        <v>1113</v>
      </c>
      <c r="B1462" s="51" t="s">
        <v>4</v>
      </c>
      <c r="C1462" s="25" t="s">
        <v>98</v>
      </c>
      <c r="D1462" s="25" t="s">
        <v>923</v>
      </c>
      <c r="E1462" s="25" t="s">
        <v>1114</v>
      </c>
      <c r="F1462" s="25"/>
      <c r="G1462" s="38">
        <f>G1463</f>
        <v>0</v>
      </c>
    </row>
    <row r="1463" spans="1:7" ht="22.5" customHeight="1" hidden="1">
      <c r="A1463" s="16" t="s">
        <v>1115</v>
      </c>
      <c r="B1463" s="51" t="s">
        <v>4</v>
      </c>
      <c r="C1463" s="25" t="s">
        <v>98</v>
      </c>
      <c r="D1463" s="25" t="s">
        <v>923</v>
      </c>
      <c r="E1463" s="25" t="s">
        <v>1114</v>
      </c>
      <c r="F1463" s="25" t="s">
        <v>1116</v>
      </c>
      <c r="G1463" s="38">
        <v>0</v>
      </c>
    </row>
    <row r="1464" spans="1:7" ht="16.5" customHeight="1" hidden="1">
      <c r="A1464" s="30" t="s">
        <v>358</v>
      </c>
      <c r="B1464" s="51" t="s">
        <v>4</v>
      </c>
      <c r="C1464" s="15" t="s">
        <v>98</v>
      </c>
      <c r="D1464" s="15" t="s">
        <v>439</v>
      </c>
      <c r="E1464" s="15"/>
      <c r="F1464" s="15"/>
      <c r="G1464" s="18">
        <f>G1465</f>
        <v>0</v>
      </c>
    </row>
    <row r="1465" spans="1:7" ht="18.75" customHeight="1" hidden="1">
      <c r="A1465" s="16" t="s">
        <v>1117</v>
      </c>
      <c r="B1465" s="51" t="s">
        <v>4</v>
      </c>
      <c r="C1465" s="15" t="s">
        <v>98</v>
      </c>
      <c r="D1465" s="15" t="s">
        <v>439</v>
      </c>
      <c r="E1465" s="15" t="s">
        <v>1118</v>
      </c>
      <c r="F1465" s="15" t="s">
        <v>575</v>
      </c>
      <c r="G1465" s="18">
        <f>G1466</f>
        <v>0</v>
      </c>
    </row>
    <row r="1466" spans="1:7" ht="21" customHeight="1" hidden="1">
      <c r="A1466" s="16" t="s">
        <v>760</v>
      </c>
      <c r="B1466" s="51" t="s">
        <v>4</v>
      </c>
      <c r="C1466" s="15" t="s">
        <v>98</v>
      </c>
      <c r="D1466" s="15" t="s">
        <v>439</v>
      </c>
      <c r="E1466" s="15" t="s">
        <v>365</v>
      </c>
      <c r="F1466" s="15"/>
      <c r="G1466" s="18">
        <f>G1467</f>
        <v>0</v>
      </c>
    </row>
    <row r="1467" spans="1:7" ht="19.5" customHeight="1" hidden="1">
      <c r="A1467" s="16" t="s">
        <v>961</v>
      </c>
      <c r="B1467" s="51" t="s">
        <v>4</v>
      </c>
      <c r="C1467" s="15" t="s">
        <v>98</v>
      </c>
      <c r="D1467" s="15" t="s">
        <v>439</v>
      </c>
      <c r="E1467" s="15" t="s">
        <v>365</v>
      </c>
      <c r="F1467" s="15" t="s">
        <v>1969</v>
      </c>
      <c r="G1467" s="18">
        <v>0</v>
      </c>
    </row>
    <row r="1468" spans="1:7" ht="15.75">
      <c r="A1468" s="87" t="s">
        <v>1891</v>
      </c>
      <c r="B1468" s="13"/>
      <c r="C1468" s="88"/>
      <c r="D1468" s="88"/>
      <c r="E1468" s="88"/>
      <c r="F1468" s="88"/>
      <c r="G1468" s="89"/>
    </row>
    <row r="1469" spans="1:8" ht="15">
      <c r="A1469" s="54" t="s">
        <v>743</v>
      </c>
      <c r="B1469" s="90"/>
      <c r="C1469" s="15"/>
      <c r="D1469" s="15"/>
      <c r="E1469" s="15"/>
      <c r="F1469" s="15"/>
      <c r="G1469" s="18"/>
      <c r="H1469" s="73"/>
    </row>
    <row r="1470" spans="1:7" ht="15">
      <c r="A1470" s="91"/>
      <c r="B1470" s="101"/>
      <c r="C1470" s="92"/>
      <c r="D1470" s="92"/>
      <c r="E1470" s="92"/>
      <c r="F1470" s="92"/>
      <c r="G1470" s="93"/>
    </row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49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J117"/>
  <sheetViews>
    <sheetView zoomScalePageLayoutView="0" workbookViewId="0" topLeftCell="A1">
      <selection activeCell="D4" sqref="D4:F4"/>
    </sheetView>
  </sheetViews>
  <sheetFormatPr defaultColWidth="9.00390625" defaultRowHeight="12.75"/>
  <cols>
    <col min="1" max="1" width="3.375" style="0" customWidth="1"/>
    <col min="2" max="2" width="36.375" style="94" customWidth="1"/>
    <col min="3" max="3" width="10.375" style="0" hidden="1" customWidth="1"/>
    <col min="4" max="4" width="9.375" style="125" customWidth="1"/>
    <col min="5" max="5" width="23.75390625" style="97" customWidth="1"/>
    <col min="6" max="6" width="11.375" style="117" customWidth="1"/>
  </cols>
  <sheetData>
    <row r="1" ht="12" customHeight="1"/>
    <row r="2" spans="4:10" ht="15.75">
      <c r="D2" s="410" t="s">
        <v>197</v>
      </c>
      <c r="E2" s="410"/>
      <c r="F2" s="410"/>
      <c r="G2" s="6"/>
      <c r="H2" s="6"/>
      <c r="I2" s="6"/>
      <c r="J2" s="7"/>
    </row>
    <row r="3" spans="4:10" ht="15.75">
      <c r="D3" s="410" t="s">
        <v>1131</v>
      </c>
      <c r="E3" s="410"/>
      <c r="F3" s="410"/>
      <c r="G3" s="6"/>
      <c r="H3" s="6"/>
      <c r="I3" s="6"/>
      <c r="J3" s="7"/>
    </row>
    <row r="4" spans="4:10" ht="15.75">
      <c r="D4" s="411" t="s">
        <v>2048</v>
      </c>
      <c r="E4" s="411"/>
      <c r="F4" s="411"/>
      <c r="G4" s="6"/>
      <c r="H4" s="6"/>
      <c r="I4" s="6"/>
      <c r="J4" s="7"/>
    </row>
    <row r="5" spans="5:10" ht="10.5" customHeight="1">
      <c r="E5" s="1"/>
      <c r="F5" s="103"/>
      <c r="G5" s="6"/>
      <c r="H5" s="6"/>
      <c r="I5" s="6"/>
      <c r="J5" s="7"/>
    </row>
    <row r="6" spans="2:6" ht="15" customHeight="1">
      <c r="B6" s="95"/>
      <c r="D6" s="417" t="s">
        <v>891</v>
      </c>
      <c r="E6" s="417"/>
      <c r="F6" s="417"/>
    </row>
    <row r="7" spans="4:6" ht="12.75">
      <c r="D7" s="126"/>
      <c r="E7" s="417" t="s">
        <v>1422</v>
      </c>
      <c r="F7" s="417"/>
    </row>
    <row r="8" spans="4:6" ht="12.75">
      <c r="D8" s="417" t="s">
        <v>890</v>
      </c>
      <c r="E8" s="417"/>
      <c r="F8" s="417"/>
    </row>
    <row r="9" ht="15.75">
      <c r="B9" s="96"/>
    </row>
    <row r="10" spans="2:6" ht="15.75">
      <c r="B10" s="418" t="s">
        <v>548</v>
      </c>
      <c r="C10" s="418"/>
      <c r="D10" s="418"/>
      <c r="E10" s="418"/>
      <c r="F10" s="418"/>
    </row>
    <row r="11" spans="2:6" ht="15.75">
      <c r="B11" s="419" t="s">
        <v>523</v>
      </c>
      <c r="C11" s="419"/>
      <c r="D11" s="419"/>
      <c r="E11" s="419"/>
      <c r="F11" s="419"/>
    </row>
    <row r="12" spans="2:6" ht="15.75">
      <c r="B12" s="419" t="s">
        <v>253</v>
      </c>
      <c r="C12" s="419"/>
      <c r="D12" s="419"/>
      <c r="E12" s="419"/>
      <c r="F12" s="419"/>
    </row>
    <row r="13" spans="2:6" ht="16.5" thickBot="1">
      <c r="B13" s="98"/>
      <c r="F13" s="117" t="s">
        <v>1634</v>
      </c>
    </row>
    <row r="14" spans="1:6" ht="39" thickBot="1">
      <c r="A14" s="68"/>
      <c r="B14" s="124" t="s">
        <v>960</v>
      </c>
      <c r="C14" s="123" t="s">
        <v>89</v>
      </c>
      <c r="D14" s="127" t="s">
        <v>21</v>
      </c>
      <c r="E14" s="109" t="s">
        <v>126</v>
      </c>
      <c r="F14" s="110" t="s">
        <v>549</v>
      </c>
    </row>
    <row r="15" spans="1:8" s="100" customFormat="1" ht="30" customHeight="1">
      <c r="A15" s="128"/>
      <c r="B15" s="425" t="s">
        <v>179</v>
      </c>
      <c r="C15" s="130" t="s">
        <v>889</v>
      </c>
      <c r="D15" s="414" t="s">
        <v>106</v>
      </c>
      <c r="E15" s="132" t="s">
        <v>1188</v>
      </c>
      <c r="F15" s="133">
        <v>151005</v>
      </c>
      <c r="G15" s="99"/>
      <c r="H15" s="99"/>
    </row>
    <row r="16" spans="1:8" s="100" customFormat="1" ht="26.25" customHeight="1" hidden="1">
      <c r="A16" s="128"/>
      <c r="B16" s="426"/>
      <c r="C16" s="130"/>
      <c r="D16" s="415"/>
      <c r="E16" s="132" t="s">
        <v>784</v>
      </c>
      <c r="F16" s="133">
        <v>0</v>
      </c>
      <c r="G16" s="99"/>
      <c r="H16" s="99"/>
    </row>
    <row r="17" spans="1:8" s="100" customFormat="1" ht="30" customHeight="1">
      <c r="A17" s="128"/>
      <c r="B17" s="426"/>
      <c r="C17" s="130"/>
      <c r="D17" s="415"/>
      <c r="E17" s="132" t="s">
        <v>1382</v>
      </c>
      <c r="F17" s="133">
        <v>52422.4</v>
      </c>
      <c r="G17" s="99"/>
      <c r="H17" s="99"/>
    </row>
    <row r="18" spans="1:8" s="100" customFormat="1" ht="30" customHeight="1">
      <c r="A18" s="128"/>
      <c r="B18" s="426"/>
      <c r="C18" s="130"/>
      <c r="D18" s="415"/>
      <c r="E18" s="132" t="s">
        <v>1510</v>
      </c>
      <c r="F18" s="133">
        <v>22072.3</v>
      </c>
      <c r="G18" s="99"/>
      <c r="H18" s="99"/>
    </row>
    <row r="19" spans="1:8" s="100" customFormat="1" ht="30" customHeight="1">
      <c r="A19" s="128"/>
      <c r="B19" s="426"/>
      <c r="C19" s="130"/>
      <c r="D19" s="415"/>
      <c r="E19" s="132" t="s">
        <v>1383</v>
      </c>
      <c r="F19" s="133">
        <v>570406.6</v>
      </c>
      <c r="G19" s="99"/>
      <c r="H19" s="99"/>
    </row>
    <row r="20" spans="1:8" s="100" customFormat="1" ht="30" customHeight="1">
      <c r="A20" s="128"/>
      <c r="B20" s="426"/>
      <c r="C20" s="130"/>
      <c r="D20" s="415"/>
      <c r="E20" s="132" t="s">
        <v>740</v>
      </c>
      <c r="F20" s="133">
        <v>137628</v>
      </c>
      <c r="G20" s="99"/>
      <c r="H20" s="99"/>
    </row>
    <row r="21" spans="1:8" s="100" customFormat="1" ht="30" customHeight="1">
      <c r="A21" s="128"/>
      <c r="B21" s="426"/>
      <c r="C21" s="130"/>
      <c r="D21" s="415"/>
      <c r="E21" s="132" t="s">
        <v>1384</v>
      </c>
      <c r="F21" s="133">
        <v>3658</v>
      </c>
      <c r="G21" s="99"/>
      <c r="H21" s="99"/>
    </row>
    <row r="22" spans="1:8" s="100" customFormat="1" ht="30" customHeight="1">
      <c r="A22" s="128"/>
      <c r="B22" s="426"/>
      <c r="C22" s="130"/>
      <c r="D22" s="415"/>
      <c r="E22" s="132" t="s">
        <v>741</v>
      </c>
      <c r="F22" s="133">
        <v>1200</v>
      </c>
      <c r="G22" s="99"/>
      <c r="H22" s="99"/>
    </row>
    <row r="23" spans="1:8" s="100" customFormat="1" ht="30" customHeight="1">
      <c r="A23" s="128"/>
      <c r="B23" s="426"/>
      <c r="C23" s="130"/>
      <c r="D23" s="415"/>
      <c r="E23" s="132" t="s">
        <v>1385</v>
      </c>
      <c r="F23" s="133">
        <v>119406.6</v>
      </c>
      <c r="G23" s="99"/>
      <c r="H23" s="99"/>
    </row>
    <row r="24" spans="1:8" s="100" customFormat="1" ht="30" customHeight="1">
      <c r="A24" s="128"/>
      <c r="B24" s="426"/>
      <c r="C24" s="130"/>
      <c r="D24" s="415"/>
      <c r="E24" s="132" t="s">
        <v>742</v>
      </c>
      <c r="F24" s="133">
        <v>55874.5</v>
      </c>
      <c r="G24" s="99"/>
      <c r="H24" s="99"/>
    </row>
    <row r="25" spans="1:8" s="100" customFormat="1" ht="30" customHeight="1">
      <c r="A25" s="128"/>
      <c r="B25" s="426"/>
      <c r="C25" s="130"/>
      <c r="D25" s="415"/>
      <c r="E25" s="132" t="s">
        <v>1386</v>
      </c>
      <c r="F25" s="133">
        <v>9557</v>
      </c>
      <c r="G25" s="99"/>
      <c r="H25" s="99"/>
    </row>
    <row r="26" spans="1:8" s="100" customFormat="1" ht="30" customHeight="1">
      <c r="A26" s="128"/>
      <c r="B26" s="426"/>
      <c r="C26" s="130"/>
      <c r="D26" s="415"/>
      <c r="E26" s="132" t="s">
        <v>1512</v>
      </c>
      <c r="F26" s="133">
        <v>1400</v>
      </c>
      <c r="G26" s="99"/>
      <c r="H26" s="99"/>
    </row>
    <row r="27" spans="1:8" s="100" customFormat="1" ht="30" customHeight="1" hidden="1">
      <c r="A27" s="128"/>
      <c r="B27" s="426"/>
      <c r="C27" s="130"/>
      <c r="D27" s="415"/>
      <c r="E27" s="132" t="s">
        <v>1387</v>
      </c>
      <c r="F27" s="133">
        <v>0</v>
      </c>
      <c r="G27" s="99"/>
      <c r="H27" s="99"/>
    </row>
    <row r="28" spans="1:8" s="100" customFormat="1" ht="30" customHeight="1">
      <c r="A28" s="128"/>
      <c r="B28" s="426"/>
      <c r="C28" s="130"/>
      <c r="D28" s="415"/>
      <c r="E28" s="132" t="s">
        <v>1388</v>
      </c>
      <c r="F28" s="133">
        <v>57502.4</v>
      </c>
      <c r="G28" s="99"/>
      <c r="H28" s="99"/>
    </row>
    <row r="29" spans="1:8" s="100" customFormat="1" ht="30" customHeight="1">
      <c r="A29" s="128"/>
      <c r="B29" s="426"/>
      <c r="C29" s="130"/>
      <c r="D29" s="415"/>
      <c r="E29" s="132" t="s">
        <v>735</v>
      </c>
      <c r="F29" s="133">
        <v>1728</v>
      </c>
      <c r="G29" s="99"/>
      <c r="H29" s="99"/>
    </row>
    <row r="30" spans="1:8" s="100" customFormat="1" ht="30" customHeight="1">
      <c r="A30" s="128"/>
      <c r="B30" s="426"/>
      <c r="C30" s="130"/>
      <c r="D30" s="415"/>
      <c r="E30" s="132" t="s">
        <v>1389</v>
      </c>
      <c r="F30" s="133">
        <v>11136.5</v>
      </c>
      <c r="G30" s="99"/>
      <c r="H30" s="99"/>
    </row>
    <row r="31" spans="1:8" s="100" customFormat="1" ht="30" customHeight="1">
      <c r="A31" s="128"/>
      <c r="B31" s="426"/>
      <c r="C31" s="130"/>
      <c r="D31" s="415"/>
      <c r="E31" s="132" t="s">
        <v>1390</v>
      </c>
      <c r="F31" s="133">
        <v>2743.3</v>
      </c>
      <c r="G31" s="99"/>
      <c r="H31" s="99"/>
    </row>
    <row r="32" spans="1:8" s="100" customFormat="1" ht="30" customHeight="1">
      <c r="A32" s="128"/>
      <c r="B32" s="426"/>
      <c r="C32" s="130"/>
      <c r="D32" s="415"/>
      <c r="E32" s="132" t="s">
        <v>1391</v>
      </c>
      <c r="F32" s="133">
        <v>28557.6</v>
      </c>
      <c r="G32" s="99"/>
      <c r="H32" s="99"/>
    </row>
    <row r="33" spans="1:8" s="100" customFormat="1" ht="30" customHeight="1">
      <c r="A33" s="128"/>
      <c r="B33" s="426"/>
      <c r="C33" s="130"/>
      <c r="D33" s="415"/>
      <c r="E33" s="132" t="s">
        <v>1513</v>
      </c>
      <c r="F33" s="133">
        <v>700</v>
      </c>
      <c r="G33" s="99"/>
      <c r="H33" s="99"/>
    </row>
    <row r="34" spans="1:8" s="100" customFormat="1" ht="30" customHeight="1">
      <c r="A34" s="128"/>
      <c r="B34" s="426"/>
      <c r="C34" s="130"/>
      <c r="D34" s="415"/>
      <c r="E34" s="132" t="s">
        <v>1419</v>
      </c>
      <c r="F34" s="133">
        <v>1.2</v>
      </c>
      <c r="G34" s="99"/>
      <c r="H34" s="99"/>
    </row>
    <row r="35" spans="1:8" s="100" customFormat="1" ht="30" customHeight="1">
      <c r="A35" s="128"/>
      <c r="B35" s="426"/>
      <c r="C35" s="130"/>
      <c r="D35" s="415"/>
      <c r="E35" s="132" t="s">
        <v>1514</v>
      </c>
      <c r="F35" s="133">
        <v>398.8</v>
      </c>
      <c r="G35" s="99"/>
      <c r="H35" s="99"/>
    </row>
    <row r="36" spans="1:8" s="100" customFormat="1" ht="27.75" customHeight="1" hidden="1">
      <c r="A36" s="128"/>
      <c r="B36" s="426"/>
      <c r="C36" s="130"/>
      <c r="D36" s="415"/>
      <c r="E36" s="132" t="s">
        <v>1132</v>
      </c>
      <c r="F36" s="133">
        <v>0</v>
      </c>
      <c r="G36" s="99"/>
      <c r="H36" s="99"/>
    </row>
    <row r="37" spans="1:8" s="100" customFormat="1" ht="27.75" customHeight="1">
      <c r="A37" s="128"/>
      <c r="B37" s="426"/>
      <c r="C37" s="130"/>
      <c r="D37" s="415"/>
      <c r="E37" s="132" t="s">
        <v>1515</v>
      </c>
      <c r="F37" s="133">
        <v>7158.6</v>
      </c>
      <c r="G37" s="99"/>
      <c r="H37" s="99"/>
    </row>
    <row r="38" spans="1:8" s="100" customFormat="1" ht="27.75" customHeight="1">
      <c r="A38" s="128"/>
      <c r="B38" s="426"/>
      <c r="C38" s="130"/>
      <c r="D38" s="415"/>
      <c r="E38" s="149" t="s">
        <v>1392</v>
      </c>
      <c r="F38" s="133">
        <v>52721.8</v>
      </c>
      <c r="G38" s="99"/>
      <c r="H38" s="99"/>
    </row>
    <row r="39" spans="1:8" s="100" customFormat="1" ht="27.75" customHeight="1">
      <c r="A39" s="128"/>
      <c r="B39" s="426"/>
      <c r="C39" s="130"/>
      <c r="D39" s="415"/>
      <c r="E39" s="149" t="s">
        <v>1393</v>
      </c>
      <c r="F39" s="133">
        <v>5980</v>
      </c>
      <c r="G39" s="99"/>
      <c r="H39" s="99"/>
    </row>
    <row r="40" spans="1:8" s="100" customFormat="1" ht="27.75" customHeight="1">
      <c r="A40" s="128"/>
      <c r="B40" s="426"/>
      <c r="C40" s="130"/>
      <c r="D40" s="415"/>
      <c r="E40" s="149" t="s">
        <v>519</v>
      </c>
      <c r="F40" s="133">
        <v>10278.5</v>
      </c>
      <c r="G40" s="99"/>
      <c r="H40" s="99"/>
    </row>
    <row r="41" spans="1:8" s="100" customFormat="1" ht="27.75" customHeight="1">
      <c r="A41" s="128"/>
      <c r="B41" s="426"/>
      <c r="C41" s="130"/>
      <c r="D41" s="415"/>
      <c r="E41" s="149" t="s">
        <v>1516</v>
      </c>
      <c r="F41" s="133">
        <v>500</v>
      </c>
      <c r="G41" s="99"/>
      <c r="H41" s="99"/>
    </row>
    <row r="42" spans="1:8" s="100" customFormat="1" ht="27.75" customHeight="1">
      <c r="A42" s="128"/>
      <c r="B42" s="426"/>
      <c r="C42" s="130"/>
      <c r="D42" s="416"/>
      <c r="E42" s="149" t="s">
        <v>541</v>
      </c>
      <c r="F42" s="133">
        <v>3000</v>
      </c>
      <c r="G42" s="99"/>
      <c r="H42" s="99"/>
    </row>
    <row r="43" spans="1:8" s="100" customFormat="1" ht="27.75" customHeight="1">
      <c r="A43" s="128"/>
      <c r="B43" s="426"/>
      <c r="C43" s="130"/>
      <c r="D43" s="424" t="s">
        <v>1968</v>
      </c>
      <c r="E43" s="132" t="s">
        <v>1388</v>
      </c>
      <c r="F43" s="133">
        <v>78840.6</v>
      </c>
      <c r="G43" s="99"/>
      <c r="H43" s="99"/>
    </row>
    <row r="44" spans="1:8" s="100" customFormat="1" ht="27.75" customHeight="1">
      <c r="A44" s="128"/>
      <c r="B44" s="427"/>
      <c r="C44" s="130"/>
      <c r="D44" s="416"/>
      <c r="E44" s="132" t="s">
        <v>861</v>
      </c>
      <c r="F44" s="133">
        <v>2000</v>
      </c>
      <c r="G44" s="99"/>
      <c r="H44" s="99"/>
    </row>
    <row r="45" spans="2:8" s="100" customFormat="1" ht="22.5" customHeight="1">
      <c r="B45" s="428" t="s">
        <v>922</v>
      </c>
      <c r="C45" s="130"/>
      <c r="D45" s="424" t="s">
        <v>106</v>
      </c>
      <c r="E45" s="132" t="s">
        <v>13</v>
      </c>
      <c r="F45" s="133">
        <v>177</v>
      </c>
      <c r="G45" s="99"/>
      <c r="H45" s="99"/>
    </row>
    <row r="46" spans="2:8" s="100" customFormat="1" ht="22.5" customHeight="1">
      <c r="B46" s="429"/>
      <c r="C46" s="130"/>
      <c r="D46" s="415"/>
      <c r="E46" s="132" t="s">
        <v>515</v>
      </c>
      <c r="F46" s="133">
        <v>1351</v>
      </c>
      <c r="G46" s="99"/>
      <c r="H46" s="99"/>
    </row>
    <row r="47" spans="2:8" s="100" customFormat="1" ht="22.5" customHeight="1">
      <c r="B47" s="429"/>
      <c r="C47" s="130"/>
      <c r="D47" s="415"/>
      <c r="E47" s="132" t="s">
        <v>830</v>
      </c>
      <c r="F47" s="133">
        <v>180</v>
      </c>
      <c r="G47" s="99"/>
      <c r="H47" s="99"/>
    </row>
    <row r="48" spans="2:8" s="100" customFormat="1" ht="22.5" customHeight="1">
      <c r="B48" s="429"/>
      <c r="C48" s="130"/>
      <c r="D48" s="415"/>
      <c r="E48" s="132" t="s">
        <v>37</v>
      </c>
      <c r="F48" s="133">
        <v>67</v>
      </c>
      <c r="G48" s="99"/>
      <c r="H48" s="99"/>
    </row>
    <row r="49" spans="2:8" s="100" customFormat="1" ht="22.5" customHeight="1">
      <c r="B49" s="429"/>
      <c r="C49" s="130"/>
      <c r="D49" s="415"/>
      <c r="E49" s="132" t="s">
        <v>831</v>
      </c>
      <c r="F49" s="133">
        <v>4029</v>
      </c>
      <c r="G49" s="99"/>
      <c r="H49" s="99"/>
    </row>
    <row r="50" spans="2:8" s="100" customFormat="1" ht="22.5" customHeight="1">
      <c r="B50" s="429"/>
      <c r="C50" s="130"/>
      <c r="D50" s="415"/>
      <c r="E50" s="132" t="s">
        <v>38</v>
      </c>
      <c r="F50" s="133">
        <v>2066</v>
      </c>
      <c r="G50" s="99"/>
      <c r="H50" s="99"/>
    </row>
    <row r="51" spans="2:8" s="100" customFormat="1" ht="22.5" customHeight="1">
      <c r="B51" s="429"/>
      <c r="C51" s="130"/>
      <c r="D51" s="415"/>
      <c r="E51" s="132" t="s">
        <v>833</v>
      </c>
      <c r="F51" s="133">
        <v>163</v>
      </c>
      <c r="G51" s="99"/>
      <c r="H51" s="99"/>
    </row>
    <row r="52" spans="2:8" s="100" customFormat="1" ht="22.5" customHeight="1">
      <c r="B52" s="429"/>
      <c r="C52" s="130"/>
      <c r="D52" s="415"/>
      <c r="E52" s="132" t="s">
        <v>39</v>
      </c>
      <c r="F52" s="133">
        <v>67</v>
      </c>
      <c r="G52" s="99"/>
      <c r="H52" s="99"/>
    </row>
    <row r="53" spans="2:8" s="100" customFormat="1" ht="19.5" customHeight="1">
      <c r="B53" s="429"/>
      <c r="C53" s="130"/>
      <c r="D53" s="415"/>
      <c r="E53" s="132" t="s">
        <v>832</v>
      </c>
      <c r="F53" s="133">
        <v>221</v>
      </c>
      <c r="G53" s="99"/>
      <c r="H53" s="99"/>
    </row>
    <row r="54" spans="2:8" s="100" customFormat="1" ht="15.75" customHeight="1" hidden="1">
      <c r="B54" s="429"/>
      <c r="C54" s="130"/>
      <c r="D54" s="416"/>
      <c r="E54" s="132" t="s">
        <v>461</v>
      </c>
      <c r="F54" s="133">
        <v>0</v>
      </c>
      <c r="G54" s="99"/>
      <c r="H54" s="99"/>
    </row>
    <row r="55" spans="2:8" s="100" customFormat="1" ht="18.75" customHeight="1" hidden="1">
      <c r="B55" s="429"/>
      <c r="C55" s="130"/>
      <c r="D55" s="424" t="s">
        <v>1966</v>
      </c>
      <c r="E55" s="132" t="s">
        <v>462</v>
      </c>
      <c r="F55" s="133">
        <v>0</v>
      </c>
      <c r="G55" s="99"/>
      <c r="H55" s="99"/>
    </row>
    <row r="56" spans="2:8" s="100" customFormat="1" ht="17.25" customHeight="1" hidden="1">
      <c r="B56" s="429"/>
      <c r="C56" s="130"/>
      <c r="D56" s="415"/>
      <c r="E56" s="132" t="s">
        <v>1159</v>
      </c>
      <c r="F56" s="133">
        <v>0</v>
      </c>
      <c r="G56" s="99"/>
      <c r="H56" s="99"/>
    </row>
    <row r="57" spans="2:8" s="100" customFormat="1" ht="18" customHeight="1" hidden="1">
      <c r="B57" s="429"/>
      <c r="C57" s="130"/>
      <c r="D57" s="416"/>
      <c r="E57" s="132" t="s">
        <v>1160</v>
      </c>
      <c r="F57" s="133">
        <v>0</v>
      </c>
      <c r="G57" s="99"/>
      <c r="H57" s="99"/>
    </row>
    <row r="58" spans="2:8" s="100" customFormat="1" ht="18" customHeight="1">
      <c r="B58" s="429"/>
      <c r="C58" s="130"/>
      <c r="D58" s="424" t="s">
        <v>1969</v>
      </c>
      <c r="E58" s="132" t="s">
        <v>1521</v>
      </c>
      <c r="F58" s="133">
        <v>8316</v>
      </c>
      <c r="G58" s="99"/>
      <c r="H58" s="99"/>
    </row>
    <row r="59" spans="2:8" s="100" customFormat="1" ht="22.5" customHeight="1">
      <c r="B59" s="430"/>
      <c r="C59" s="130"/>
      <c r="D59" s="416"/>
      <c r="E59" s="132" t="s">
        <v>834</v>
      </c>
      <c r="F59" s="133">
        <v>1604</v>
      </c>
      <c r="G59" s="99"/>
      <c r="H59" s="99"/>
    </row>
    <row r="60" spans="2:8" s="100" customFormat="1" ht="27.75" customHeight="1">
      <c r="B60" s="428" t="s">
        <v>330</v>
      </c>
      <c r="C60" s="130"/>
      <c r="D60" s="424" t="s">
        <v>106</v>
      </c>
      <c r="E60" s="132" t="s">
        <v>520</v>
      </c>
      <c r="F60" s="133">
        <v>470</v>
      </c>
      <c r="G60" s="99"/>
      <c r="H60" s="99"/>
    </row>
    <row r="61" spans="2:8" s="100" customFormat="1" ht="27.75" customHeight="1">
      <c r="B61" s="429"/>
      <c r="C61" s="130"/>
      <c r="D61" s="415"/>
      <c r="E61" s="132" t="s">
        <v>521</v>
      </c>
      <c r="F61" s="133">
        <v>14019</v>
      </c>
      <c r="G61" s="99"/>
      <c r="H61" s="99"/>
    </row>
    <row r="62" spans="2:8" s="100" customFormat="1" ht="32.25" customHeight="1">
      <c r="B62" s="429"/>
      <c r="C62" s="130"/>
      <c r="D62" s="415"/>
      <c r="E62" s="132" t="s">
        <v>522</v>
      </c>
      <c r="F62" s="133">
        <v>269</v>
      </c>
      <c r="G62" s="99"/>
      <c r="H62" s="99"/>
    </row>
    <row r="63" spans="2:8" s="100" customFormat="1" ht="30" customHeight="1">
      <c r="B63" s="429"/>
      <c r="C63" s="130"/>
      <c r="D63" s="415"/>
      <c r="E63" s="132" t="s">
        <v>636</v>
      </c>
      <c r="F63" s="133">
        <v>3631</v>
      </c>
      <c r="G63" s="99"/>
      <c r="H63" s="99"/>
    </row>
    <row r="64" spans="2:8" s="100" customFormat="1" ht="27.75" customHeight="1">
      <c r="B64" s="429"/>
      <c r="C64" s="130"/>
      <c r="D64" s="415"/>
      <c r="E64" s="132" t="s">
        <v>637</v>
      </c>
      <c r="F64" s="133">
        <v>2400</v>
      </c>
      <c r="G64" s="99"/>
      <c r="H64" s="99"/>
    </row>
    <row r="65" spans="2:8" s="100" customFormat="1" ht="40.5" customHeight="1" hidden="1">
      <c r="B65" s="430"/>
      <c r="C65" s="130"/>
      <c r="D65" s="416"/>
      <c r="E65" s="132"/>
      <c r="F65" s="133"/>
      <c r="G65" s="99"/>
      <c r="H65" s="99"/>
    </row>
    <row r="66" spans="2:8" s="100" customFormat="1" ht="24" customHeight="1">
      <c r="B66" s="420" t="s">
        <v>331</v>
      </c>
      <c r="C66" s="135"/>
      <c r="D66" s="422" t="s">
        <v>1969</v>
      </c>
      <c r="E66" s="134" t="s">
        <v>437</v>
      </c>
      <c r="F66" s="133">
        <v>3000</v>
      </c>
      <c r="G66" s="99"/>
      <c r="H66" s="99"/>
    </row>
    <row r="67" spans="2:8" s="100" customFormat="1" ht="22.5" customHeight="1">
      <c r="B67" s="421"/>
      <c r="C67" s="135"/>
      <c r="D67" s="423"/>
      <c r="E67" s="134" t="s">
        <v>436</v>
      </c>
      <c r="F67" s="133">
        <f>250+734</f>
        <v>984</v>
      </c>
      <c r="G67" s="99"/>
      <c r="H67" s="99"/>
    </row>
    <row r="68" spans="2:8" s="100" customFormat="1" ht="44.25" customHeight="1">
      <c r="B68" s="129" t="s">
        <v>332</v>
      </c>
      <c r="C68" s="135"/>
      <c r="D68" s="136" t="s">
        <v>1969</v>
      </c>
      <c r="E68" s="134" t="s">
        <v>154</v>
      </c>
      <c r="F68" s="133">
        <v>3200</v>
      </c>
      <c r="G68" s="99"/>
      <c r="H68" s="99"/>
    </row>
    <row r="69" spans="2:8" s="100" customFormat="1" ht="44.25" customHeight="1" hidden="1">
      <c r="B69" s="439" t="s">
        <v>333</v>
      </c>
      <c r="C69" s="130" t="s">
        <v>1608</v>
      </c>
      <c r="D69" s="441" t="s">
        <v>1969</v>
      </c>
      <c r="E69" s="134" t="s">
        <v>447</v>
      </c>
      <c r="F69" s="133">
        <v>0</v>
      </c>
      <c r="G69" s="99"/>
      <c r="H69" s="99"/>
    </row>
    <row r="70" spans="2:8" s="100" customFormat="1" ht="41.25" customHeight="1">
      <c r="B70" s="440"/>
      <c r="C70" s="130"/>
      <c r="D70" s="442"/>
      <c r="E70" s="134" t="s">
        <v>1110</v>
      </c>
      <c r="F70" s="133">
        <v>113.2</v>
      </c>
      <c r="G70" s="99"/>
      <c r="H70" s="99"/>
    </row>
    <row r="71" spans="2:8" s="100" customFormat="1" ht="44.25" customHeight="1">
      <c r="B71" s="129" t="s">
        <v>334</v>
      </c>
      <c r="C71" s="130"/>
      <c r="D71" s="131" t="s">
        <v>1969</v>
      </c>
      <c r="E71" s="144" t="s">
        <v>1525</v>
      </c>
      <c r="F71" s="133">
        <v>2000</v>
      </c>
      <c r="G71" s="99"/>
      <c r="H71" s="99"/>
    </row>
    <row r="72" spans="2:8" s="100" customFormat="1" ht="87.75" customHeight="1">
      <c r="B72" s="443" t="s">
        <v>335</v>
      </c>
      <c r="C72" s="130"/>
      <c r="D72" s="136" t="s">
        <v>1969</v>
      </c>
      <c r="E72" s="137" t="s">
        <v>1133</v>
      </c>
      <c r="F72" s="133">
        <v>2221.5</v>
      </c>
      <c r="G72" s="99"/>
      <c r="H72" s="99"/>
    </row>
    <row r="73" spans="2:8" s="100" customFormat="1" ht="6" customHeight="1" hidden="1">
      <c r="B73" s="443"/>
      <c r="C73" s="130"/>
      <c r="D73" s="136"/>
      <c r="E73" s="137"/>
      <c r="F73" s="133"/>
      <c r="G73" s="99"/>
      <c r="H73" s="99"/>
    </row>
    <row r="74" spans="2:8" s="100" customFormat="1" ht="21" customHeight="1">
      <c r="B74" s="435" t="s">
        <v>336</v>
      </c>
      <c r="C74" s="130"/>
      <c r="D74" s="424" t="s">
        <v>106</v>
      </c>
      <c r="E74" s="132" t="s">
        <v>1189</v>
      </c>
      <c r="F74" s="133">
        <v>32.2</v>
      </c>
      <c r="G74" s="99"/>
      <c r="H74" s="99"/>
    </row>
    <row r="75" spans="2:8" s="100" customFormat="1" ht="17.25" customHeight="1">
      <c r="B75" s="436"/>
      <c r="C75" s="130"/>
      <c r="D75" s="415"/>
      <c r="E75" s="132" t="s">
        <v>1190</v>
      </c>
      <c r="F75" s="133">
        <v>1609.5</v>
      </c>
      <c r="G75" s="99"/>
      <c r="H75" s="99"/>
    </row>
    <row r="76" spans="2:8" s="100" customFormat="1" ht="18.75" customHeight="1">
      <c r="B76" s="436"/>
      <c r="C76" s="130"/>
      <c r="D76" s="415"/>
      <c r="E76" s="132" t="s">
        <v>532</v>
      </c>
      <c r="F76" s="133">
        <v>1519.1</v>
      </c>
      <c r="G76" s="99"/>
      <c r="H76" s="99"/>
    </row>
    <row r="77" spans="2:8" s="100" customFormat="1" ht="17.25" customHeight="1" hidden="1">
      <c r="B77" s="436"/>
      <c r="C77" s="130"/>
      <c r="D77" s="415"/>
      <c r="E77" s="132" t="s">
        <v>531</v>
      </c>
      <c r="F77" s="133">
        <v>0</v>
      </c>
      <c r="G77" s="99"/>
      <c r="H77" s="99"/>
    </row>
    <row r="78" spans="2:8" s="100" customFormat="1" ht="15.75" customHeight="1" hidden="1">
      <c r="B78" s="436"/>
      <c r="C78" s="130"/>
      <c r="D78" s="415"/>
      <c r="E78" s="132" t="s">
        <v>532</v>
      </c>
      <c r="F78" s="133">
        <v>0</v>
      </c>
      <c r="G78" s="99"/>
      <c r="H78" s="99"/>
    </row>
    <row r="79" spans="2:8" s="100" customFormat="1" ht="15.75" customHeight="1" hidden="1">
      <c r="B79" s="436"/>
      <c r="C79" s="130"/>
      <c r="D79" s="415"/>
      <c r="E79" s="132" t="s">
        <v>533</v>
      </c>
      <c r="F79" s="133">
        <v>0</v>
      </c>
      <c r="G79" s="99"/>
      <c r="H79" s="99"/>
    </row>
    <row r="80" spans="2:8" s="100" customFormat="1" ht="15.75" customHeight="1">
      <c r="B80" s="436"/>
      <c r="C80" s="130"/>
      <c r="D80" s="416"/>
      <c r="E80" s="132" t="s">
        <v>533</v>
      </c>
      <c r="F80" s="133">
        <v>14429.2</v>
      </c>
      <c r="G80" s="99"/>
      <c r="H80" s="99"/>
    </row>
    <row r="81" spans="2:8" s="100" customFormat="1" ht="15.75" customHeight="1">
      <c r="B81" s="436"/>
      <c r="C81" s="130"/>
      <c r="D81" s="424" t="s">
        <v>1968</v>
      </c>
      <c r="E81" s="132" t="s">
        <v>532</v>
      </c>
      <c r="F81" s="133">
        <v>600</v>
      </c>
      <c r="G81" s="99"/>
      <c r="H81" s="99"/>
    </row>
    <row r="82" spans="2:8" s="100" customFormat="1" ht="15.75" customHeight="1">
      <c r="B82" s="436"/>
      <c r="C82" s="130"/>
      <c r="D82" s="416"/>
      <c r="E82" s="132" t="s">
        <v>533</v>
      </c>
      <c r="F82" s="133">
        <v>160</v>
      </c>
      <c r="G82" s="99"/>
      <c r="H82" s="99"/>
    </row>
    <row r="83" spans="2:8" s="100" customFormat="1" ht="19.5" customHeight="1" hidden="1">
      <c r="B83" s="437"/>
      <c r="C83" s="130"/>
      <c r="D83" s="147"/>
      <c r="E83" s="132"/>
      <c r="F83" s="133"/>
      <c r="G83" s="99"/>
      <c r="H83" s="99"/>
    </row>
    <row r="84" spans="2:6" ht="23.25" customHeight="1">
      <c r="B84" s="420" t="s">
        <v>337</v>
      </c>
      <c r="C84" s="135"/>
      <c r="D84" s="422" t="s">
        <v>1966</v>
      </c>
      <c r="E84" s="134" t="s">
        <v>516</v>
      </c>
      <c r="F84" s="133">
        <v>63406.6</v>
      </c>
    </row>
    <row r="85" spans="2:6" ht="27.75" customHeight="1">
      <c r="B85" s="438"/>
      <c r="C85" s="135"/>
      <c r="D85" s="431"/>
      <c r="E85" s="134" t="s">
        <v>534</v>
      </c>
      <c r="F85" s="133">
        <v>55618</v>
      </c>
    </row>
    <row r="86" spans="2:6" ht="27.75" customHeight="1" hidden="1">
      <c r="B86" s="438"/>
      <c r="C86" s="135"/>
      <c r="D86" s="431"/>
      <c r="E86" s="134" t="s">
        <v>448</v>
      </c>
      <c r="F86" s="133">
        <v>0</v>
      </c>
    </row>
    <row r="87" spans="2:6" ht="27.75" customHeight="1">
      <c r="B87" s="438"/>
      <c r="C87" s="135"/>
      <c r="D87" s="431"/>
      <c r="E87" s="134" t="s">
        <v>1111</v>
      </c>
      <c r="F87" s="133">
        <v>486.5</v>
      </c>
    </row>
    <row r="88" spans="2:6" ht="27.75" customHeight="1">
      <c r="B88" s="438"/>
      <c r="C88" s="135"/>
      <c r="D88" s="431"/>
      <c r="E88" s="134" t="s">
        <v>1522</v>
      </c>
      <c r="F88" s="133">
        <v>120</v>
      </c>
    </row>
    <row r="89" spans="2:6" ht="27.75" customHeight="1">
      <c r="B89" s="421"/>
      <c r="C89" s="135"/>
      <c r="D89" s="423"/>
      <c r="E89" s="134" t="s">
        <v>542</v>
      </c>
      <c r="F89" s="133">
        <v>850</v>
      </c>
    </row>
    <row r="90" spans="2:6" ht="24.75" customHeight="1">
      <c r="B90" s="428" t="s">
        <v>338</v>
      </c>
      <c r="C90" s="135"/>
      <c r="D90" s="422" t="s">
        <v>1968</v>
      </c>
      <c r="E90" s="134" t="s">
        <v>535</v>
      </c>
      <c r="F90" s="133">
        <v>27022</v>
      </c>
    </row>
    <row r="91" spans="2:6" ht="19.5" customHeight="1">
      <c r="B91" s="429"/>
      <c r="C91" s="135"/>
      <c r="D91" s="431"/>
      <c r="E91" s="134" t="s">
        <v>1091</v>
      </c>
      <c r="F91" s="133">
        <v>4612.3</v>
      </c>
    </row>
    <row r="92" spans="2:6" ht="19.5" customHeight="1">
      <c r="B92" s="429"/>
      <c r="C92" s="135"/>
      <c r="D92" s="431"/>
      <c r="E92" s="134" t="s">
        <v>1520</v>
      </c>
      <c r="F92" s="133">
        <v>79274.3</v>
      </c>
    </row>
    <row r="93" spans="2:6" ht="19.5" customHeight="1">
      <c r="B93" s="429"/>
      <c r="C93" s="135"/>
      <c r="D93" s="431"/>
      <c r="E93" s="134" t="s">
        <v>1092</v>
      </c>
      <c r="F93" s="133">
        <v>2670</v>
      </c>
    </row>
    <row r="94" spans="2:6" ht="20.25" customHeight="1">
      <c r="B94" s="430"/>
      <c r="C94" s="135"/>
      <c r="D94" s="423"/>
      <c r="E94" s="134" t="s">
        <v>492</v>
      </c>
      <c r="F94" s="133">
        <v>1160</v>
      </c>
    </row>
    <row r="95" spans="2:6" ht="93" customHeight="1" hidden="1">
      <c r="B95" s="67" t="s">
        <v>641</v>
      </c>
      <c r="C95" s="135"/>
      <c r="D95" s="136" t="s">
        <v>1969</v>
      </c>
      <c r="E95" s="134" t="s">
        <v>642</v>
      </c>
      <c r="F95" s="133">
        <v>0</v>
      </c>
    </row>
    <row r="96" spans="2:6" ht="27" customHeight="1">
      <c r="B96" s="435" t="s">
        <v>526</v>
      </c>
      <c r="C96" s="135"/>
      <c r="D96" s="422" t="s">
        <v>1969</v>
      </c>
      <c r="E96" s="134" t="s">
        <v>1523</v>
      </c>
      <c r="F96" s="133">
        <v>11290.7</v>
      </c>
    </row>
    <row r="97" spans="2:6" ht="24" customHeight="1">
      <c r="B97" s="437"/>
      <c r="C97" s="135"/>
      <c r="D97" s="423"/>
      <c r="E97" s="134" t="s">
        <v>1524</v>
      </c>
      <c r="F97" s="133">
        <v>8560.6</v>
      </c>
    </row>
    <row r="98" spans="2:6" ht="30" customHeight="1">
      <c r="B98" s="435" t="s">
        <v>339</v>
      </c>
      <c r="C98" s="135"/>
      <c r="D98" s="422" t="s">
        <v>1968</v>
      </c>
      <c r="E98" s="134" t="s">
        <v>1518</v>
      </c>
      <c r="F98" s="133">
        <v>182708.8</v>
      </c>
    </row>
    <row r="99" spans="2:6" ht="27.75" customHeight="1">
      <c r="B99" s="436"/>
      <c r="C99" s="135"/>
      <c r="D99" s="431"/>
      <c r="E99" s="134" t="s">
        <v>539</v>
      </c>
      <c r="F99" s="133">
        <v>11332.1</v>
      </c>
    </row>
    <row r="100" spans="2:6" ht="27.75" customHeight="1">
      <c r="B100" s="436"/>
      <c r="C100" s="135"/>
      <c r="D100" s="431"/>
      <c r="E100" s="134" t="s">
        <v>493</v>
      </c>
      <c r="F100" s="133">
        <v>7722</v>
      </c>
    </row>
    <row r="101" spans="2:6" ht="27.75" customHeight="1">
      <c r="B101" s="436"/>
      <c r="C101" s="135"/>
      <c r="D101" s="431"/>
      <c r="E101" s="134" t="s">
        <v>1519</v>
      </c>
      <c r="F101" s="133">
        <v>19979.5</v>
      </c>
    </row>
    <row r="102" spans="2:6" ht="27.75" customHeight="1">
      <c r="B102" s="436"/>
      <c r="C102" s="135"/>
      <c r="D102" s="431"/>
      <c r="E102" s="134" t="s">
        <v>1112</v>
      </c>
      <c r="F102" s="133">
        <v>9821</v>
      </c>
    </row>
    <row r="103" spans="2:6" ht="29.25" customHeight="1">
      <c r="B103" s="437"/>
      <c r="C103" s="135"/>
      <c r="D103" s="423"/>
      <c r="E103" s="134" t="s">
        <v>1358</v>
      </c>
      <c r="F103" s="133">
        <v>1256.7</v>
      </c>
    </row>
    <row r="104" spans="2:6" ht="57" customHeight="1">
      <c r="B104" s="67" t="s">
        <v>340</v>
      </c>
      <c r="C104" s="135"/>
      <c r="D104" s="136" t="s">
        <v>1969</v>
      </c>
      <c r="E104" s="134" t="s">
        <v>540</v>
      </c>
      <c r="F104" s="133">
        <v>20409.4</v>
      </c>
    </row>
    <row r="105" spans="2:6" ht="33.75" customHeight="1">
      <c r="B105" s="435" t="s">
        <v>341</v>
      </c>
      <c r="C105" s="135"/>
      <c r="D105" s="422" t="s">
        <v>1968</v>
      </c>
      <c r="E105" s="134" t="s">
        <v>1517</v>
      </c>
      <c r="F105" s="133">
        <v>19438.5</v>
      </c>
    </row>
    <row r="106" spans="2:6" ht="36" customHeight="1">
      <c r="B106" s="437"/>
      <c r="C106" s="135"/>
      <c r="D106" s="423"/>
      <c r="E106" s="134" t="s">
        <v>1505</v>
      </c>
      <c r="F106" s="133">
        <v>3857</v>
      </c>
    </row>
    <row r="107" spans="2:6" ht="37.5" customHeight="1">
      <c r="B107" s="444" t="s">
        <v>26</v>
      </c>
      <c r="C107" s="135"/>
      <c r="D107" s="422" t="s">
        <v>1969</v>
      </c>
      <c r="E107" s="134" t="s">
        <v>1421</v>
      </c>
      <c r="F107" s="133">
        <v>1550</v>
      </c>
    </row>
    <row r="108" spans="2:6" ht="60.75" customHeight="1">
      <c r="B108" s="445"/>
      <c r="C108" s="135"/>
      <c r="D108" s="423"/>
      <c r="E108" s="134" t="s">
        <v>1906</v>
      </c>
      <c r="F108" s="133">
        <v>2800</v>
      </c>
    </row>
    <row r="109" spans="2:6" ht="75.75" customHeight="1">
      <c r="B109" s="174" t="s">
        <v>342</v>
      </c>
      <c r="C109" s="135"/>
      <c r="D109" s="163" t="s">
        <v>1969</v>
      </c>
      <c r="E109" s="134" t="s">
        <v>40</v>
      </c>
      <c r="F109" s="133">
        <v>10652.1</v>
      </c>
    </row>
    <row r="110" spans="2:6" ht="27" customHeight="1" hidden="1">
      <c r="B110" s="432" t="s">
        <v>399</v>
      </c>
      <c r="C110" s="135"/>
      <c r="D110" s="422" t="s">
        <v>1969</v>
      </c>
      <c r="E110" s="134" t="s">
        <v>1637</v>
      </c>
      <c r="F110" s="133">
        <v>0</v>
      </c>
    </row>
    <row r="111" spans="2:6" ht="51.75" customHeight="1">
      <c r="B111" s="434"/>
      <c r="C111" s="135"/>
      <c r="D111" s="423"/>
      <c r="E111" s="134" t="s">
        <v>885</v>
      </c>
      <c r="F111" s="133">
        <v>12735.6</v>
      </c>
    </row>
    <row r="112" spans="2:6" ht="47.25" customHeight="1" hidden="1">
      <c r="B112" s="174" t="s">
        <v>840</v>
      </c>
      <c r="C112" s="135"/>
      <c r="D112" s="163" t="s">
        <v>1969</v>
      </c>
      <c r="E112" s="134" t="s">
        <v>841</v>
      </c>
      <c r="F112" s="133">
        <v>0</v>
      </c>
    </row>
    <row r="113" spans="2:6" ht="31.5" customHeight="1">
      <c r="B113" s="432" t="s">
        <v>1357</v>
      </c>
      <c r="C113" s="135"/>
      <c r="D113" s="422" t="s">
        <v>1969</v>
      </c>
      <c r="E113" s="134" t="s">
        <v>1359</v>
      </c>
      <c r="F113" s="133">
        <v>101802</v>
      </c>
    </row>
    <row r="114" spans="2:6" ht="31.5" customHeight="1">
      <c r="B114" s="433"/>
      <c r="C114" s="135"/>
      <c r="D114" s="431"/>
      <c r="E114" s="134" t="s">
        <v>1360</v>
      </c>
      <c r="F114" s="133">
        <v>202557.5</v>
      </c>
    </row>
    <row r="115" spans="2:6" ht="31.5" customHeight="1">
      <c r="B115" s="434"/>
      <c r="C115" s="135"/>
      <c r="D115" s="423"/>
      <c r="E115" s="134" t="s">
        <v>1420</v>
      </c>
      <c r="F115" s="133">
        <v>8407.6</v>
      </c>
    </row>
    <row r="116" spans="2:6" ht="47.25" customHeight="1">
      <c r="B116" s="208" t="s">
        <v>1448</v>
      </c>
      <c r="C116" s="135"/>
      <c r="D116" s="163" t="s">
        <v>1969</v>
      </c>
      <c r="E116" s="134" t="s">
        <v>1361</v>
      </c>
      <c r="F116" s="133">
        <v>386</v>
      </c>
    </row>
    <row r="117" spans="2:6" ht="31.5" customHeight="1">
      <c r="B117" s="138" t="s">
        <v>547</v>
      </c>
      <c r="C117" s="122"/>
      <c r="D117" s="139"/>
      <c r="E117" s="140"/>
      <c r="F117" s="148">
        <f>SUM(F15:F116)</f>
        <v>2329263.2000000007</v>
      </c>
    </row>
    <row r="118" ht="14.25" customHeight="1"/>
  </sheetData>
  <sheetProtection/>
  <mergeCells count="42">
    <mergeCell ref="B110:B111"/>
    <mergeCell ref="D110:D111"/>
    <mergeCell ref="B105:B106"/>
    <mergeCell ref="D105:D106"/>
    <mergeCell ref="B107:B108"/>
    <mergeCell ref="D107:D108"/>
    <mergeCell ref="B98:B103"/>
    <mergeCell ref="D98:D103"/>
    <mergeCell ref="B69:B70"/>
    <mergeCell ref="D69:D70"/>
    <mergeCell ref="D74:D80"/>
    <mergeCell ref="B72:B73"/>
    <mergeCell ref="D113:D115"/>
    <mergeCell ref="B113:B115"/>
    <mergeCell ref="D84:D89"/>
    <mergeCell ref="B74:B83"/>
    <mergeCell ref="B90:B94"/>
    <mergeCell ref="D90:D94"/>
    <mergeCell ref="D81:D82"/>
    <mergeCell ref="B84:B89"/>
    <mergeCell ref="B96:B97"/>
    <mergeCell ref="D96:D97"/>
    <mergeCell ref="B66:B67"/>
    <mergeCell ref="D66:D67"/>
    <mergeCell ref="D43:D44"/>
    <mergeCell ref="B15:B44"/>
    <mergeCell ref="B60:B65"/>
    <mergeCell ref="D58:D59"/>
    <mergeCell ref="D60:D65"/>
    <mergeCell ref="B45:B59"/>
    <mergeCell ref="D45:D54"/>
    <mergeCell ref="D55:D57"/>
    <mergeCell ref="D15:D42"/>
    <mergeCell ref="D2:F2"/>
    <mergeCell ref="D3:F3"/>
    <mergeCell ref="D4:F4"/>
    <mergeCell ref="E7:F7"/>
    <mergeCell ref="D6:F6"/>
    <mergeCell ref="D8:F8"/>
    <mergeCell ref="B10:F10"/>
    <mergeCell ref="B12:F12"/>
    <mergeCell ref="B11:F11"/>
  </mergeCells>
  <printOptions/>
  <pageMargins left="0.75" right="0.75" top="1" bottom="1" header="0.5" footer="0.5"/>
  <pageSetup firstPageNumber="78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4.75390625" style="311" customWidth="1"/>
    <col min="2" max="2" width="11.375" style="312" customWidth="1"/>
    <col min="3" max="3" width="64.875" style="326" customWidth="1"/>
    <col min="4" max="4" width="17.25390625" style="313" customWidth="1"/>
    <col min="5" max="5" width="9.00390625" style="313" customWidth="1"/>
    <col min="6" max="8" width="9.125" style="313" hidden="1" customWidth="1"/>
    <col min="9" max="16384" width="9.125" style="313" customWidth="1"/>
  </cols>
  <sheetData>
    <row r="2" spans="3:4" ht="15.75">
      <c r="C2" s="451" t="s">
        <v>198</v>
      </c>
      <c r="D2" s="451"/>
    </row>
    <row r="3" spans="3:4" ht="15.75">
      <c r="C3" s="452" t="s">
        <v>1618</v>
      </c>
      <c r="D3" s="452"/>
    </row>
    <row r="4" spans="3:4" ht="15.75">
      <c r="C4" s="453" t="s">
        <v>2049</v>
      </c>
      <c r="D4" s="453"/>
    </row>
    <row r="5" spans="3:4" ht="15.75">
      <c r="C5" s="314"/>
      <c r="D5" s="315"/>
    </row>
    <row r="6" spans="3:4" ht="15.75">
      <c r="C6" s="454" t="s">
        <v>55</v>
      </c>
      <c r="D6" s="454"/>
    </row>
    <row r="7" spans="3:4" ht="15.75">
      <c r="C7" s="457" t="s">
        <v>56</v>
      </c>
      <c r="D7" s="457"/>
    </row>
    <row r="8" spans="3:4" ht="15.75">
      <c r="C8" s="453" t="s">
        <v>57</v>
      </c>
      <c r="D8" s="453"/>
    </row>
    <row r="9" spans="1:4" ht="84" customHeight="1">
      <c r="A9" s="458" t="s">
        <v>58</v>
      </c>
      <c r="B9" s="458"/>
      <c r="C9" s="458"/>
      <c r="D9" s="458"/>
    </row>
    <row r="10" spans="1:4" ht="27" customHeight="1">
      <c r="A10" s="459" t="s">
        <v>59</v>
      </c>
      <c r="B10" s="446" t="s">
        <v>60</v>
      </c>
      <c r="C10" s="448" t="s">
        <v>61</v>
      </c>
      <c r="D10" s="448" t="s">
        <v>62</v>
      </c>
    </row>
    <row r="11" spans="1:4" ht="35.25" customHeight="1">
      <c r="A11" s="460"/>
      <c r="B11" s="447"/>
      <c r="C11" s="449"/>
      <c r="D11" s="450"/>
    </row>
    <row r="12" spans="1:4" ht="15.75">
      <c r="A12" s="316">
        <v>1</v>
      </c>
      <c r="B12" s="316" t="s">
        <v>63</v>
      </c>
      <c r="C12" s="317" t="s">
        <v>64</v>
      </c>
      <c r="D12" s="317" t="s">
        <v>65</v>
      </c>
    </row>
    <row r="13" spans="1:4" ht="54.75" customHeight="1">
      <c r="A13" s="318">
        <v>1</v>
      </c>
      <c r="B13" s="319" t="s">
        <v>1969</v>
      </c>
      <c r="C13" s="320" t="s">
        <v>66</v>
      </c>
      <c r="D13" s="321">
        <v>300</v>
      </c>
    </row>
    <row r="14" spans="1:4" ht="42.75" customHeight="1">
      <c r="A14" s="318">
        <v>2</v>
      </c>
      <c r="B14" s="319" t="s">
        <v>1969</v>
      </c>
      <c r="C14" s="320" t="s">
        <v>67</v>
      </c>
      <c r="D14" s="321">
        <v>700</v>
      </c>
    </row>
    <row r="15" spans="1:4" ht="42" customHeight="1">
      <c r="A15" s="318">
        <v>3</v>
      </c>
      <c r="B15" s="319" t="s">
        <v>1969</v>
      </c>
      <c r="C15" s="320" t="s">
        <v>68</v>
      </c>
      <c r="D15" s="321">
        <v>200</v>
      </c>
    </row>
    <row r="16" spans="1:4" ht="66.75" customHeight="1">
      <c r="A16" s="318">
        <v>4</v>
      </c>
      <c r="B16" s="319" t="s">
        <v>1968</v>
      </c>
      <c r="C16" s="320" t="s">
        <v>73</v>
      </c>
      <c r="D16" s="321">
        <v>1000</v>
      </c>
    </row>
    <row r="17" spans="1:4" ht="85.5" customHeight="1">
      <c r="A17" s="318">
        <v>5</v>
      </c>
      <c r="B17" s="319" t="s">
        <v>1968</v>
      </c>
      <c r="C17" s="327" t="s">
        <v>74</v>
      </c>
      <c r="D17" s="321">
        <v>1500</v>
      </c>
    </row>
    <row r="18" spans="1:4" ht="77.25" customHeight="1">
      <c r="A18" s="318">
        <v>6</v>
      </c>
      <c r="B18" s="319" t="s">
        <v>1968</v>
      </c>
      <c r="C18" s="320" t="s">
        <v>75</v>
      </c>
      <c r="D18" s="321">
        <v>1500</v>
      </c>
    </row>
    <row r="19" spans="1:4" ht="72.75" customHeight="1">
      <c r="A19" s="318">
        <v>7</v>
      </c>
      <c r="B19" s="319" t="s">
        <v>1968</v>
      </c>
      <c r="C19" s="320" t="s">
        <v>76</v>
      </c>
      <c r="D19" s="321">
        <v>500</v>
      </c>
    </row>
    <row r="20" spans="1:4" ht="64.5" customHeight="1">
      <c r="A20" s="318">
        <v>8</v>
      </c>
      <c r="B20" s="319" t="s">
        <v>1968</v>
      </c>
      <c r="C20" s="320" t="s">
        <v>77</v>
      </c>
      <c r="D20" s="321">
        <v>500</v>
      </c>
    </row>
    <row r="21" spans="1:4" ht="59.25" customHeight="1">
      <c r="A21" s="318">
        <v>9</v>
      </c>
      <c r="B21" s="319" t="s">
        <v>1968</v>
      </c>
      <c r="C21" s="320" t="s">
        <v>78</v>
      </c>
      <c r="D21" s="321">
        <v>1000</v>
      </c>
    </row>
    <row r="22" spans="1:4" ht="72.75" customHeight="1">
      <c r="A22" s="318">
        <v>10</v>
      </c>
      <c r="B22" s="319" t="s">
        <v>1968</v>
      </c>
      <c r="C22" s="320" t="s">
        <v>69</v>
      </c>
      <c r="D22" s="321">
        <v>1000</v>
      </c>
    </row>
    <row r="23" spans="1:4" ht="81.75" customHeight="1">
      <c r="A23" s="318">
        <v>11</v>
      </c>
      <c r="B23" s="319" t="s">
        <v>1968</v>
      </c>
      <c r="C23" s="320" t="s">
        <v>70</v>
      </c>
      <c r="D23" s="321">
        <v>2000</v>
      </c>
    </row>
    <row r="24" spans="1:4" ht="83.25" customHeight="1">
      <c r="A24" s="318">
        <v>12</v>
      </c>
      <c r="B24" s="319" t="s">
        <v>1968</v>
      </c>
      <c r="C24" s="320" t="s">
        <v>79</v>
      </c>
      <c r="D24" s="321">
        <v>500</v>
      </c>
    </row>
    <row r="25" spans="1:4" ht="47.25">
      <c r="A25" s="318">
        <v>13</v>
      </c>
      <c r="B25" s="319" t="s">
        <v>1968</v>
      </c>
      <c r="C25" s="320" t="s">
        <v>80</v>
      </c>
      <c r="D25" s="321">
        <v>1000</v>
      </c>
    </row>
    <row r="26" spans="1:4" ht="49.5" customHeight="1">
      <c r="A26" s="318">
        <v>14</v>
      </c>
      <c r="B26" s="319" t="s">
        <v>1968</v>
      </c>
      <c r="C26" s="320" t="s">
        <v>71</v>
      </c>
      <c r="D26" s="321">
        <v>500</v>
      </c>
    </row>
    <row r="27" spans="1:4" ht="49.5" customHeight="1">
      <c r="A27" s="318">
        <v>15</v>
      </c>
      <c r="B27" s="319" t="s">
        <v>1968</v>
      </c>
      <c r="C27" s="320" t="s">
        <v>81</v>
      </c>
      <c r="D27" s="321">
        <v>300</v>
      </c>
    </row>
    <row r="28" spans="1:4" ht="15.75">
      <c r="A28" s="318"/>
      <c r="B28" s="319"/>
      <c r="C28" s="322" t="s">
        <v>72</v>
      </c>
      <c r="D28" s="323">
        <f>SUM(D13:D27)</f>
        <v>12500</v>
      </c>
    </row>
    <row r="29" spans="2:3" ht="15.75">
      <c r="B29" s="455"/>
      <c r="C29" s="455"/>
    </row>
    <row r="30" spans="2:4" ht="15.75">
      <c r="B30" s="456"/>
      <c r="C30" s="456"/>
      <c r="D30" s="324"/>
    </row>
    <row r="31" spans="3:4" ht="15.75">
      <c r="C31" s="325"/>
      <c r="D31" s="324"/>
    </row>
    <row r="32" spans="3:4" ht="15.75">
      <c r="C32" s="325"/>
      <c r="D32" s="324"/>
    </row>
    <row r="33" spans="3:4" ht="15.75">
      <c r="C33" s="325"/>
      <c r="D33" s="324"/>
    </row>
    <row r="34" spans="3:4" ht="15.75">
      <c r="C34" s="325"/>
      <c r="D34" s="324"/>
    </row>
    <row r="35" spans="3:4" ht="15.75">
      <c r="C35" s="325"/>
      <c r="D35" s="324"/>
    </row>
    <row r="36" spans="3:4" ht="15.75">
      <c r="C36" s="325"/>
      <c r="D36" s="324"/>
    </row>
    <row r="37" spans="3:4" ht="15.75">
      <c r="C37" s="325"/>
      <c r="D37" s="324"/>
    </row>
    <row r="38" spans="3:4" ht="15.75">
      <c r="C38" s="325"/>
      <c r="D38" s="324"/>
    </row>
    <row r="39" spans="3:4" ht="15.75">
      <c r="C39" s="325"/>
      <c r="D39" s="324"/>
    </row>
    <row r="40" spans="3:4" ht="31.5" customHeight="1">
      <c r="C40" s="325"/>
      <c r="D40" s="324"/>
    </row>
    <row r="41" spans="3:4" ht="33" customHeight="1">
      <c r="C41" s="325"/>
      <c r="D41" s="324"/>
    </row>
    <row r="42" spans="3:4" ht="15.75">
      <c r="C42" s="325"/>
      <c r="D42" s="324"/>
    </row>
    <row r="43" spans="3:4" ht="15.75">
      <c r="C43" s="325"/>
      <c r="D43" s="324"/>
    </row>
    <row r="44" spans="3:4" ht="15.75">
      <c r="C44" s="325"/>
      <c r="D44" s="324"/>
    </row>
    <row r="45" spans="3:4" ht="15.75">
      <c r="C45" s="325"/>
      <c r="D45" s="324"/>
    </row>
    <row r="46" spans="3:4" ht="15.75">
      <c r="C46" s="325"/>
      <c r="D46" s="324"/>
    </row>
    <row r="47" spans="3:4" ht="15.75">
      <c r="C47" s="325"/>
      <c r="D47" s="324"/>
    </row>
    <row r="48" spans="3:4" ht="15.75">
      <c r="C48" s="325"/>
      <c r="D48" s="324"/>
    </row>
    <row r="49" spans="3:4" ht="15.75">
      <c r="C49" s="325"/>
      <c r="D49" s="324"/>
    </row>
    <row r="50" spans="3:4" ht="15.75">
      <c r="C50" s="325"/>
      <c r="D50" s="324"/>
    </row>
    <row r="51" spans="3:4" ht="15.75">
      <c r="C51" s="325"/>
      <c r="D51" s="324"/>
    </row>
    <row r="52" spans="3:4" ht="15.75">
      <c r="C52" s="325"/>
      <c r="D52" s="324"/>
    </row>
    <row r="53" spans="3:4" ht="15.75">
      <c r="C53" s="325"/>
      <c r="D53" s="324"/>
    </row>
    <row r="54" spans="3:4" ht="15.75">
      <c r="C54" s="325"/>
      <c r="D54" s="324"/>
    </row>
    <row r="55" spans="3:4" ht="15.75">
      <c r="C55" s="325"/>
      <c r="D55" s="324"/>
    </row>
    <row r="56" ht="15.75">
      <c r="D56" s="324"/>
    </row>
    <row r="72" ht="15.75">
      <c r="C72" s="313"/>
    </row>
    <row r="73" ht="15.75">
      <c r="C73" s="313"/>
    </row>
    <row r="74" ht="15.75">
      <c r="C74" s="313"/>
    </row>
    <row r="75" ht="15.75">
      <c r="C75" s="313"/>
    </row>
    <row r="76" ht="15.75">
      <c r="C76" s="313"/>
    </row>
    <row r="77" ht="15.75">
      <c r="C77" s="313"/>
    </row>
    <row r="78" ht="15.75">
      <c r="C78" s="313"/>
    </row>
    <row r="79" ht="15.75">
      <c r="C79" s="313"/>
    </row>
    <row r="80" ht="15.75">
      <c r="C80" s="313"/>
    </row>
    <row r="81" ht="15.75">
      <c r="C81" s="313"/>
    </row>
    <row r="82" ht="15.75">
      <c r="C82" s="313"/>
    </row>
    <row r="83" ht="15.75">
      <c r="C83" s="313"/>
    </row>
    <row r="84" ht="15.75">
      <c r="C84" s="313"/>
    </row>
    <row r="85" ht="15.75">
      <c r="C85" s="313"/>
    </row>
    <row r="86" ht="15.75">
      <c r="C86" s="313"/>
    </row>
    <row r="87" ht="15.75">
      <c r="D87" s="311"/>
    </row>
    <row r="88" ht="15.75">
      <c r="D88" s="311"/>
    </row>
    <row r="89" ht="15.75">
      <c r="D89" s="311"/>
    </row>
    <row r="90" ht="15.75">
      <c r="D90" s="311"/>
    </row>
    <row r="91" ht="15.75">
      <c r="D91" s="311"/>
    </row>
    <row r="92" ht="15.75">
      <c r="D92" s="311"/>
    </row>
    <row r="93" ht="15.75">
      <c r="D93" s="311"/>
    </row>
    <row r="94" ht="15.75">
      <c r="D94" s="311"/>
    </row>
    <row r="95" ht="15.75">
      <c r="D95" s="311"/>
    </row>
    <row r="96" ht="15.75">
      <c r="D96" s="311"/>
    </row>
    <row r="97" spans="3:4" ht="15.75">
      <c r="C97" s="313"/>
      <c r="D97" s="311"/>
    </row>
    <row r="98" spans="3:4" ht="15.75">
      <c r="C98" s="313"/>
      <c r="D98" s="311"/>
    </row>
    <row r="99" spans="3:4" ht="15.75">
      <c r="C99" s="313"/>
      <c r="D99" s="311"/>
    </row>
    <row r="100" spans="3:4" ht="15.75">
      <c r="C100" s="313"/>
      <c r="D100" s="311"/>
    </row>
    <row r="101" spans="3:4" ht="15.75">
      <c r="C101" s="313"/>
      <c r="D101" s="311"/>
    </row>
    <row r="102" spans="3:4" ht="15.75">
      <c r="C102" s="313"/>
      <c r="D102" s="311"/>
    </row>
    <row r="103" spans="3:4" ht="15.75">
      <c r="C103" s="313"/>
      <c r="D103" s="311"/>
    </row>
    <row r="104" spans="3:4" ht="15.75">
      <c r="C104" s="313"/>
      <c r="D104" s="311"/>
    </row>
    <row r="105" spans="3:4" ht="15.75">
      <c r="C105" s="313"/>
      <c r="D105" s="311"/>
    </row>
    <row r="106" spans="3:4" ht="15.75">
      <c r="C106" s="313"/>
      <c r="D106" s="311"/>
    </row>
    <row r="107" spans="3:4" ht="15.75">
      <c r="C107" s="313"/>
      <c r="D107" s="311"/>
    </row>
    <row r="108" spans="3:4" ht="15.75">
      <c r="C108" s="313"/>
      <c r="D108" s="311"/>
    </row>
    <row r="109" spans="3:4" ht="15.75">
      <c r="C109" s="313"/>
      <c r="D109" s="311"/>
    </row>
    <row r="110" spans="3:4" ht="15.75">
      <c r="C110" s="313"/>
      <c r="D110" s="311"/>
    </row>
    <row r="111" spans="3:4" ht="15.75">
      <c r="C111" s="313"/>
      <c r="D111" s="311"/>
    </row>
    <row r="112" spans="3:4" ht="15.75">
      <c r="C112" s="313"/>
      <c r="D112" s="311"/>
    </row>
    <row r="113" spans="3:4" ht="15.75">
      <c r="C113" s="313"/>
      <c r="D113" s="311"/>
    </row>
    <row r="114" spans="3:4" ht="15.75">
      <c r="C114" s="313"/>
      <c r="D114" s="311"/>
    </row>
    <row r="115" spans="3:4" ht="15.75">
      <c r="C115" s="313"/>
      <c r="D115" s="311"/>
    </row>
    <row r="116" spans="3:4" ht="15.75">
      <c r="C116" s="313"/>
      <c r="D116" s="311"/>
    </row>
    <row r="117" spans="3:4" ht="15.75">
      <c r="C117" s="313"/>
      <c r="D117" s="311"/>
    </row>
    <row r="118" spans="3:4" ht="15.75">
      <c r="C118" s="313"/>
      <c r="D118" s="311"/>
    </row>
    <row r="119" spans="3:4" ht="15.75">
      <c r="C119" s="313"/>
      <c r="D119" s="311"/>
    </row>
    <row r="120" spans="3:4" ht="15.75">
      <c r="C120" s="313"/>
      <c r="D120" s="311"/>
    </row>
    <row r="121" spans="3:4" ht="15.75">
      <c r="C121" s="313"/>
      <c r="D121" s="311"/>
    </row>
    <row r="122" spans="3:4" ht="15.75">
      <c r="C122" s="313"/>
      <c r="D122" s="311"/>
    </row>
    <row r="123" spans="3:4" ht="15.75">
      <c r="C123" s="313"/>
      <c r="D123" s="311"/>
    </row>
    <row r="124" spans="3:4" ht="15.75">
      <c r="C124" s="313"/>
      <c r="D124" s="311"/>
    </row>
    <row r="125" spans="3:4" ht="15.75">
      <c r="C125" s="313"/>
      <c r="D125" s="311"/>
    </row>
    <row r="126" spans="3:4" ht="15.75">
      <c r="C126" s="313"/>
      <c r="D126" s="311"/>
    </row>
    <row r="127" spans="3:4" ht="15.75">
      <c r="C127" s="313"/>
      <c r="D127" s="311"/>
    </row>
    <row r="128" spans="3:4" ht="15.75">
      <c r="C128" s="313"/>
      <c r="D128" s="311"/>
    </row>
    <row r="129" spans="3:4" ht="15.75">
      <c r="C129" s="313"/>
      <c r="D129" s="311"/>
    </row>
    <row r="130" spans="3:4" ht="15.75">
      <c r="C130" s="313"/>
      <c r="D130" s="311"/>
    </row>
    <row r="131" spans="3:4" ht="15.75">
      <c r="C131" s="313"/>
      <c r="D131" s="311"/>
    </row>
    <row r="132" spans="3:4" ht="15.75">
      <c r="C132" s="313"/>
      <c r="D132" s="311"/>
    </row>
    <row r="133" spans="3:4" ht="15.75">
      <c r="C133" s="313"/>
      <c r="D133" s="311"/>
    </row>
    <row r="134" spans="3:4" ht="15.75">
      <c r="C134" s="313"/>
      <c r="D134" s="311"/>
    </row>
    <row r="135" spans="3:4" ht="15.75">
      <c r="C135" s="313"/>
      <c r="D135" s="311"/>
    </row>
    <row r="136" spans="3:4" ht="15.75">
      <c r="C136" s="313"/>
      <c r="D136" s="311"/>
    </row>
    <row r="137" spans="3:4" ht="15.75">
      <c r="C137" s="313"/>
      <c r="D137" s="311"/>
    </row>
    <row r="138" spans="3:4" ht="15.75">
      <c r="C138" s="313"/>
      <c r="D138" s="311"/>
    </row>
    <row r="139" spans="3:4" ht="15.75">
      <c r="C139" s="313"/>
      <c r="D139" s="311"/>
    </row>
    <row r="140" spans="3:4" ht="15.75">
      <c r="C140" s="313"/>
      <c r="D140" s="311"/>
    </row>
    <row r="141" spans="3:4" ht="15.75">
      <c r="C141" s="313"/>
      <c r="D141" s="311"/>
    </row>
    <row r="142" spans="3:4" ht="15.75">
      <c r="C142" s="313"/>
      <c r="D142" s="311"/>
    </row>
    <row r="143" spans="3:4" ht="15.75">
      <c r="C143" s="313"/>
      <c r="D143" s="311"/>
    </row>
    <row r="144" spans="3:4" ht="15.75">
      <c r="C144" s="313"/>
      <c r="D144" s="311"/>
    </row>
    <row r="145" spans="3:4" ht="15.75">
      <c r="C145" s="313"/>
      <c r="D145" s="311"/>
    </row>
    <row r="146" spans="3:4" ht="15.75">
      <c r="C146" s="313"/>
      <c r="D146" s="311"/>
    </row>
    <row r="147" spans="3:4" ht="15.75">
      <c r="C147" s="313"/>
      <c r="D147" s="311"/>
    </row>
    <row r="148" spans="3:4" ht="15.75">
      <c r="C148" s="313"/>
      <c r="D148" s="311"/>
    </row>
    <row r="149" spans="3:4" ht="15.75">
      <c r="C149" s="313"/>
      <c r="D149" s="311"/>
    </row>
    <row r="150" spans="3:4" ht="15.75">
      <c r="C150" s="313"/>
      <c r="D150" s="311"/>
    </row>
    <row r="151" spans="3:4" ht="15.75">
      <c r="C151" s="313"/>
      <c r="D151" s="311"/>
    </row>
    <row r="152" spans="3:4" ht="15.75">
      <c r="C152" s="313"/>
      <c r="D152" s="311"/>
    </row>
    <row r="153" spans="3:4" ht="15.75">
      <c r="C153" s="313"/>
      <c r="D153" s="311"/>
    </row>
    <row r="154" spans="3:4" ht="15.75">
      <c r="C154" s="313"/>
      <c r="D154" s="311"/>
    </row>
    <row r="155" spans="3:4" ht="15.75">
      <c r="C155" s="313"/>
      <c r="D155" s="311"/>
    </row>
    <row r="156" spans="3:4" ht="15.75">
      <c r="C156" s="313"/>
      <c r="D156" s="311"/>
    </row>
    <row r="157" spans="3:4" ht="15.75">
      <c r="C157" s="313"/>
      <c r="D157" s="311"/>
    </row>
    <row r="158" spans="3:4" ht="15.75">
      <c r="C158" s="313"/>
      <c r="D158" s="311"/>
    </row>
    <row r="159" spans="3:4" ht="15.75">
      <c r="C159" s="313"/>
      <c r="D159" s="311"/>
    </row>
    <row r="160" spans="3:4" ht="15.75">
      <c r="C160" s="313"/>
      <c r="D160" s="311"/>
    </row>
    <row r="161" spans="3:4" ht="15.75">
      <c r="C161" s="313"/>
      <c r="D161" s="311"/>
    </row>
    <row r="162" spans="3:4" ht="15.75">
      <c r="C162" s="313"/>
      <c r="D162" s="311"/>
    </row>
    <row r="163" spans="3:4" ht="15.75">
      <c r="C163" s="313"/>
      <c r="D163" s="311"/>
    </row>
    <row r="164" spans="3:4" ht="15.75">
      <c r="C164" s="313"/>
      <c r="D164" s="311"/>
    </row>
    <row r="165" spans="3:4" ht="15.75">
      <c r="C165" s="313"/>
      <c r="D165" s="311"/>
    </row>
    <row r="166" spans="3:4" ht="15.75">
      <c r="C166" s="313"/>
      <c r="D166" s="311"/>
    </row>
    <row r="167" spans="3:4" ht="15.75">
      <c r="C167" s="313"/>
      <c r="D167" s="311"/>
    </row>
    <row r="168" spans="3:4" ht="15.75">
      <c r="C168" s="313"/>
      <c r="D168" s="311"/>
    </row>
    <row r="169" spans="3:4" ht="15.75">
      <c r="C169" s="313"/>
      <c r="D169" s="311"/>
    </row>
    <row r="170" spans="3:4" ht="15.75">
      <c r="C170" s="313"/>
      <c r="D170" s="311"/>
    </row>
    <row r="171" spans="3:4" ht="15.75">
      <c r="C171" s="313"/>
      <c r="D171" s="311"/>
    </row>
    <row r="172" spans="3:4" ht="15.75">
      <c r="C172" s="313"/>
      <c r="D172" s="311"/>
    </row>
    <row r="173" spans="3:4" ht="15.75">
      <c r="C173" s="313"/>
      <c r="D173" s="311"/>
    </row>
    <row r="174" spans="3:4" ht="15.75">
      <c r="C174" s="313"/>
      <c r="D174" s="311"/>
    </row>
    <row r="175" spans="3:4" ht="15.75">
      <c r="C175" s="313"/>
      <c r="D175" s="311"/>
    </row>
    <row r="176" spans="3:4" ht="15.75">
      <c r="C176" s="313"/>
      <c r="D176" s="311"/>
    </row>
    <row r="177" spans="3:4" ht="15.75">
      <c r="C177" s="313"/>
      <c r="D177" s="311"/>
    </row>
    <row r="178" spans="3:4" ht="15.75">
      <c r="C178" s="313"/>
      <c r="D178" s="311"/>
    </row>
    <row r="179" spans="3:4" ht="15.75">
      <c r="C179" s="313"/>
      <c r="D179" s="311"/>
    </row>
    <row r="180" spans="3:4" ht="15.75">
      <c r="C180" s="313"/>
      <c r="D180" s="311"/>
    </row>
    <row r="181" spans="3:4" ht="15.75">
      <c r="C181" s="313"/>
      <c r="D181" s="311"/>
    </row>
    <row r="182" spans="3:4" ht="15.75">
      <c r="C182" s="313"/>
      <c r="D182" s="311"/>
    </row>
    <row r="183" spans="3:4" ht="15.75">
      <c r="C183" s="313"/>
      <c r="D183" s="311"/>
    </row>
    <row r="184" spans="3:4" ht="15.75">
      <c r="C184" s="313"/>
      <c r="D184" s="311"/>
    </row>
    <row r="185" spans="3:4" ht="15.75">
      <c r="C185" s="313"/>
      <c r="D185" s="311"/>
    </row>
    <row r="186" spans="3:4" ht="15.75">
      <c r="C186" s="313"/>
      <c r="D186" s="311"/>
    </row>
    <row r="187" spans="3:4" ht="15.75">
      <c r="C187" s="313"/>
      <c r="D187" s="311"/>
    </row>
    <row r="188" spans="3:4" ht="15.75">
      <c r="C188" s="313"/>
      <c r="D188" s="311"/>
    </row>
    <row r="189" spans="3:4" ht="15.75">
      <c r="C189" s="313"/>
      <c r="D189" s="311"/>
    </row>
    <row r="190" spans="3:4" ht="15.75">
      <c r="C190" s="313"/>
      <c r="D190" s="311"/>
    </row>
    <row r="191" spans="3:4" ht="15.75">
      <c r="C191" s="313"/>
      <c r="D191" s="311"/>
    </row>
    <row r="192" spans="3:4" ht="15.75">
      <c r="C192" s="313"/>
      <c r="D192" s="311"/>
    </row>
    <row r="193" spans="3:4" ht="15.75">
      <c r="C193" s="313"/>
      <c r="D193" s="311"/>
    </row>
    <row r="194" spans="3:4" ht="15.75">
      <c r="C194" s="313"/>
      <c r="D194" s="311"/>
    </row>
    <row r="195" spans="3:4" ht="15.75">
      <c r="C195" s="313"/>
      <c r="D195" s="311"/>
    </row>
    <row r="196" spans="3:4" ht="15.75">
      <c r="C196" s="313"/>
      <c r="D196" s="311"/>
    </row>
    <row r="197" spans="3:4" ht="15.75">
      <c r="C197" s="313"/>
      <c r="D197" s="311"/>
    </row>
    <row r="198" spans="3:4" ht="15.75">
      <c r="C198" s="313"/>
      <c r="D198" s="311"/>
    </row>
    <row r="199" spans="3:4" ht="15.75">
      <c r="C199" s="313"/>
      <c r="D199" s="311"/>
    </row>
    <row r="200" spans="3:4" ht="15.75">
      <c r="C200" s="313"/>
      <c r="D200" s="311"/>
    </row>
    <row r="201" spans="3:4" ht="15.75">
      <c r="C201" s="313"/>
      <c r="D201" s="311"/>
    </row>
    <row r="202" spans="3:4" ht="15.75">
      <c r="C202" s="313"/>
      <c r="D202" s="311"/>
    </row>
    <row r="203" spans="3:4" ht="15.75">
      <c r="C203" s="313"/>
      <c r="D203" s="311"/>
    </row>
    <row r="204" spans="3:4" ht="15.75">
      <c r="C204" s="313"/>
      <c r="D204" s="311"/>
    </row>
    <row r="205" spans="3:4" ht="15.75">
      <c r="C205" s="313"/>
      <c r="D205" s="311"/>
    </row>
    <row r="206" spans="3:4" ht="15.75">
      <c r="C206" s="313"/>
      <c r="D206" s="311"/>
    </row>
    <row r="207" spans="3:4" ht="15.75">
      <c r="C207" s="313"/>
      <c r="D207" s="311"/>
    </row>
    <row r="208" spans="3:4" ht="15.75">
      <c r="C208" s="313"/>
      <c r="D208" s="311"/>
    </row>
    <row r="209" spans="3:4" ht="15.75">
      <c r="C209" s="313"/>
      <c r="D209" s="311"/>
    </row>
    <row r="210" spans="3:4" ht="15.75">
      <c r="C210" s="313"/>
      <c r="D210" s="311"/>
    </row>
    <row r="211" spans="3:4" ht="15.75">
      <c r="C211" s="313"/>
      <c r="D211" s="311"/>
    </row>
    <row r="212" spans="3:4" ht="15.75">
      <c r="C212" s="313"/>
      <c r="D212" s="311"/>
    </row>
    <row r="213" spans="3:4" ht="15.75">
      <c r="C213" s="313"/>
      <c r="D213" s="311"/>
    </row>
    <row r="214" spans="3:4" ht="15.75">
      <c r="C214" s="313"/>
      <c r="D214" s="311"/>
    </row>
    <row r="215" spans="3:4" ht="15.75">
      <c r="C215" s="313"/>
      <c r="D215" s="311"/>
    </row>
    <row r="216" spans="3:4" ht="15.75">
      <c r="C216" s="313"/>
      <c r="D216" s="311"/>
    </row>
    <row r="217" spans="3:4" ht="15.75">
      <c r="C217" s="313"/>
      <c r="D217" s="311"/>
    </row>
    <row r="218" spans="3:4" ht="15.75">
      <c r="C218" s="313"/>
      <c r="D218" s="311"/>
    </row>
    <row r="219" spans="3:4" ht="15.75">
      <c r="C219" s="313"/>
      <c r="D219" s="311"/>
    </row>
    <row r="220" spans="3:4" ht="15.75">
      <c r="C220" s="313"/>
      <c r="D220" s="311"/>
    </row>
    <row r="221" spans="3:4" ht="15.75">
      <c r="C221" s="313"/>
      <c r="D221" s="311"/>
    </row>
    <row r="222" spans="3:4" ht="15.75">
      <c r="C222" s="313"/>
      <c r="D222" s="311"/>
    </row>
    <row r="223" spans="3:4" ht="15.75">
      <c r="C223" s="313"/>
      <c r="D223" s="311"/>
    </row>
    <row r="224" spans="3:4" ht="15.75">
      <c r="C224" s="313"/>
      <c r="D224" s="311"/>
    </row>
    <row r="225" spans="3:4" ht="15.75">
      <c r="C225" s="313"/>
      <c r="D225" s="311"/>
    </row>
    <row r="226" spans="3:4" ht="15.75">
      <c r="C226" s="313"/>
      <c r="D226" s="311"/>
    </row>
    <row r="227" spans="3:4" ht="15.75">
      <c r="C227" s="313"/>
      <c r="D227" s="311"/>
    </row>
    <row r="228" spans="3:4" ht="15.75">
      <c r="C228" s="313"/>
      <c r="D228" s="311"/>
    </row>
    <row r="229" spans="3:4" ht="15.75">
      <c r="C229" s="313"/>
      <c r="D229" s="311"/>
    </row>
    <row r="230" spans="3:4" ht="15.75">
      <c r="C230" s="313"/>
      <c r="D230" s="311"/>
    </row>
    <row r="231" spans="3:4" ht="15.75">
      <c r="C231" s="313"/>
      <c r="D231" s="311"/>
    </row>
    <row r="232" spans="3:4" ht="15.75">
      <c r="C232" s="313"/>
      <c r="D232" s="311"/>
    </row>
    <row r="233" spans="3:4" ht="15.75">
      <c r="C233" s="313"/>
      <c r="D233" s="311"/>
    </row>
    <row r="234" spans="3:4" ht="15.75">
      <c r="C234" s="313"/>
      <c r="D234" s="311"/>
    </row>
    <row r="235" spans="3:4" ht="15.75">
      <c r="C235" s="313"/>
      <c r="D235" s="311"/>
    </row>
    <row r="236" spans="3:4" ht="15.75">
      <c r="C236" s="313"/>
      <c r="D236" s="311"/>
    </row>
    <row r="237" spans="3:4" ht="15.75">
      <c r="C237" s="313"/>
      <c r="D237" s="311"/>
    </row>
    <row r="238" spans="3:4" ht="15.75">
      <c r="C238" s="313"/>
      <c r="D238" s="311"/>
    </row>
    <row r="239" spans="3:4" ht="15.75">
      <c r="C239" s="313"/>
      <c r="D239" s="311"/>
    </row>
    <row r="240" spans="3:4" ht="15.75">
      <c r="C240" s="313"/>
      <c r="D240" s="311"/>
    </row>
    <row r="241" spans="3:4" ht="15.75">
      <c r="C241" s="313"/>
      <c r="D241" s="311"/>
    </row>
    <row r="242" spans="3:4" ht="15.75">
      <c r="C242" s="313"/>
      <c r="D242" s="311"/>
    </row>
    <row r="243" spans="3:4" ht="15.75">
      <c r="C243" s="313"/>
      <c r="D243" s="311"/>
    </row>
    <row r="244" spans="3:4" ht="15.75">
      <c r="C244" s="313"/>
      <c r="D244" s="311"/>
    </row>
    <row r="245" spans="3:4" ht="15.75">
      <c r="C245" s="313"/>
      <c r="D245" s="311"/>
    </row>
    <row r="246" spans="3:4" ht="15.75">
      <c r="C246" s="313"/>
      <c r="D246" s="311"/>
    </row>
    <row r="247" spans="3:4" ht="15.75">
      <c r="C247" s="313"/>
      <c r="D247" s="311"/>
    </row>
    <row r="248" spans="3:4" ht="15.75">
      <c r="C248" s="313"/>
      <c r="D248" s="311"/>
    </row>
    <row r="249" spans="3:4" ht="15.75">
      <c r="C249" s="313"/>
      <c r="D249" s="311"/>
    </row>
    <row r="250" spans="3:4" ht="15.75">
      <c r="C250" s="313"/>
      <c r="D250" s="311"/>
    </row>
    <row r="251" spans="3:4" ht="15.75">
      <c r="C251" s="313"/>
      <c r="D251" s="311"/>
    </row>
    <row r="252" spans="3:4" ht="15.75">
      <c r="C252" s="313"/>
      <c r="D252" s="311"/>
    </row>
    <row r="253" spans="3:4" ht="15.75">
      <c r="C253" s="313"/>
      <c r="D253" s="311"/>
    </row>
    <row r="254" spans="3:4" ht="15.75">
      <c r="C254" s="313"/>
      <c r="D254" s="311"/>
    </row>
    <row r="255" spans="3:4" ht="15.75">
      <c r="C255" s="313"/>
      <c r="D255" s="311"/>
    </row>
    <row r="256" spans="3:4" ht="15.75">
      <c r="C256" s="313"/>
      <c r="D256" s="311"/>
    </row>
    <row r="257" spans="3:4" ht="15.75">
      <c r="C257" s="313"/>
      <c r="D257" s="311"/>
    </row>
    <row r="258" spans="3:4" ht="15.75">
      <c r="C258" s="313"/>
      <c r="D258" s="311"/>
    </row>
    <row r="259" spans="3:4" ht="15.75">
      <c r="C259" s="313"/>
      <c r="D259" s="311"/>
    </row>
    <row r="260" spans="3:4" ht="15.75">
      <c r="C260" s="313"/>
      <c r="D260" s="311"/>
    </row>
    <row r="261" spans="3:4" ht="15.75">
      <c r="C261" s="313"/>
      <c r="D261" s="311"/>
    </row>
    <row r="262" spans="3:4" ht="15.75">
      <c r="C262" s="313"/>
      <c r="D262" s="311"/>
    </row>
    <row r="263" spans="3:4" ht="15.75">
      <c r="C263" s="313"/>
      <c r="D263" s="311"/>
    </row>
    <row r="264" spans="3:4" ht="15.75">
      <c r="C264" s="313"/>
      <c r="D264" s="311"/>
    </row>
    <row r="265" spans="3:4" ht="15.75">
      <c r="C265" s="313"/>
      <c r="D265" s="311"/>
    </row>
    <row r="266" spans="3:4" ht="15.75">
      <c r="C266" s="313"/>
      <c r="D266" s="311"/>
    </row>
  </sheetData>
  <sheetProtection/>
  <mergeCells count="13">
    <mergeCell ref="B29:C29"/>
    <mergeCell ref="B30:C30"/>
    <mergeCell ref="C7:D7"/>
    <mergeCell ref="C8:D8"/>
    <mergeCell ref="A9:D9"/>
    <mergeCell ref="A10:A11"/>
    <mergeCell ref="B10:B11"/>
    <mergeCell ref="C10:C11"/>
    <mergeCell ref="D10:D11"/>
    <mergeCell ref="C2:D2"/>
    <mergeCell ref="C3:D3"/>
    <mergeCell ref="C4:D4"/>
    <mergeCell ref="C6:D6"/>
  </mergeCells>
  <printOptions/>
  <pageMargins left="0.75" right="0.75" top="1" bottom="1" header="0.5" footer="0.5"/>
  <pageSetup firstPageNumber="82" useFirstPageNumber="1" horizontalDpi="600" verticalDpi="600" orientation="portrait" paperSize="9" scale="8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2013-11-06T07:18:45Z</cp:lastPrinted>
  <dcterms:created xsi:type="dcterms:W3CDTF">2002-07-15T12:30:47Z</dcterms:created>
  <dcterms:modified xsi:type="dcterms:W3CDTF">2013-11-11T08:01:14Z</dcterms:modified>
  <cp:category/>
  <cp:version/>
  <cp:contentType/>
  <cp:contentStatus/>
</cp:coreProperties>
</file>